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<sst xmlns="http://schemas.openxmlformats.org/spreadsheetml/2006/main" count="668" uniqueCount="206">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</sst>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v>2.61</v>
      </c>
      <c r="K3" s="12" t="n">
        <f aca="true">NOW()</f>
        <v>45926.9540548519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v>2.77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v>2.85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95590.5</v>
      </c>
      <c r="C12" s="30" t="n">
        <f aca="false">+B12/$J$4</f>
        <v>34509.2057761733</v>
      </c>
      <c r="D12" s="30" t="n">
        <f aca="false">+Calpine!D47</f>
        <v>135512</v>
      </c>
      <c r="E12" s="31" t="n">
        <f aca="false">+C12-D12</f>
        <v>-101002.794223827</v>
      </c>
      <c r="F12" s="32" t="n">
        <f aca="false">+Calpine!A41</f>
        <v>37132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-211520.77</v>
      </c>
      <c r="C13" s="27" t="n">
        <f aca="false">+B13/$J$4</f>
        <v>-76361.2888086643</v>
      </c>
      <c r="D13" s="30" t="n">
        <f aca="false">+'Citizens-Griffith'!D48</f>
        <v>-99872</v>
      </c>
      <c r="E13" s="31" t="n">
        <f aca="false">+C13-D13</f>
        <v>23510.7111913357</v>
      </c>
      <c r="F13" s="32" t="n">
        <f aca="false">+'Citizens-Griffith'!A41</f>
        <v>37132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-423403.93</v>
      </c>
      <c r="C14" s="27" t="n">
        <f aca="false">+B14/$J$4</f>
        <v>-152853.40433213</v>
      </c>
      <c r="D14" s="30" t="n">
        <f aca="false">+'NS Steel'!D50</f>
        <v>-78809</v>
      </c>
      <c r="E14" s="31" t="n">
        <f aca="false">+C14-D14</f>
        <v>-74044.40433213</v>
      </c>
      <c r="F14" s="35" t="n">
        <f aca="false">+'NS Steel'!A41</f>
        <v>37132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-774224.01</v>
      </c>
      <c r="C15" s="37" t="n">
        <f aca="false">+B15/$J$4</f>
        <v>-279503.252707581</v>
      </c>
      <c r="D15" s="37" t="n">
        <f aca="false">+Citizens!D24</f>
        <v>-158108</v>
      </c>
      <c r="E15" s="38" t="n">
        <f aca="false">+C15-D15</f>
        <v>-121395.252707581</v>
      </c>
      <c r="F15" s="32" t="n">
        <f aca="false">+Citizens!A18</f>
        <v>37132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-1313558.21</v>
      </c>
      <c r="C16" s="43" t="n">
        <f aca="false">SUBTOTAL(9,C12:C15)</f>
        <v>-474208.740072202</v>
      </c>
      <c r="D16" s="43" t="n">
        <f aca="false">SUBTOTAL(9,D12:D15)</f>
        <v>-201277</v>
      </c>
      <c r="E16" s="44" t="n">
        <f aca="false">SUBTOTAL(9,E12:E15)</f>
        <v>-272931.740072202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21633.37</v>
      </c>
      <c r="C19" s="27" t="n">
        <f aca="false">+B19/$J$4</f>
        <v>7809.88086642599</v>
      </c>
      <c r="D19" s="30" t="n">
        <f aca="false">+transcol!D50</f>
        <v>-43464</v>
      </c>
      <c r="E19" s="31" t="n">
        <f aca="false">+C19-D19</f>
        <v>51273.880866426</v>
      </c>
      <c r="F19" s="35" t="n">
        <f aca="false">+transcol!A43</f>
        <v>37132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7764.54</v>
      </c>
      <c r="C20" s="47" t="n">
        <f aca="false">+B20/$J$3</f>
        <v>2974.91954022989</v>
      </c>
      <c r="D20" s="37" t="n">
        <f aca="false">+burlington!D49</f>
        <v>2056</v>
      </c>
      <c r="E20" s="38" t="n">
        <f aca="false">+C20-D20</f>
        <v>918.919540229886</v>
      </c>
      <c r="F20" s="32" t="n">
        <f aca="false">+burlington!A42</f>
        <v>37132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29397.91</v>
      </c>
      <c r="C21" s="48" t="n">
        <f aca="false">SUBTOTAL(9,C19:C20)</f>
        <v>10784.8004066559</v>
      </c>
      <c r="D21" s="43" t="n">
        <f aca="false">SUBTOTAL(9,D19:D20)</f>
        <v>-41408</v>
      </c>
      <c r="E21" s="44" t="n">
        <f aca="false">SUBTOTAL(9,E19:E20)</f>
        <v>52192.8004066559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319424.83</v>
      </c>
      <c r="C24" s="27" t="n">
        <f aca="false">+B24/$J$4</f>
        <v>115315.823104693</v>
      </c>
      <c r="D24" s="30" t="n">
        <f aca="false">+NNG!D34</f>
        <v>-58814</v>
      </c>
      <c r="E24" s="31" t="n">
        <f aca="false">+C24-D24</f>
        <v>174129.823104693</v>
      </c>
      <c r="F24" s="32" t="n">
        <f aca="false">+NNG!A24</f>
        <v>37132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542101.44</v>
      </c>
      <c r="C25" s="27" t="n">
        <f aca="false">+B25/$J$4</f>
        <v>195704.490974729</v>
      </c>
      <c r="D25" s="30" t="n">
        <f aca="false">+Conoco!D48</f>
        <v>69652</v>
      </c>
      <c r="E25" s="31" t="n">
        <f aca="false">+C25-D25</f>
        <v>126052.490974729</v>
      </c>
      <c r="F25" s="32" t="n">
        <f aca="false">+Conoco!A41</f>
        <v>37132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426393.06</v>
      </c>
      <c r="C26" s="27" t="n">
        <f aca="false">+B26/$J$4</f>
        <v>153932.512635379</v>
      </c>
      <c r="D26" s="30" t="n">
        <f aca="false">+'Amoco Abo'!D49</f>
        <v>-241476</v>
      </c>
      <c r="E26" s="31" t="n">
        <f aca="false">+C26-D26</f>
        <v>395408.512635379</v>
      </c>
      <c r="F26" s="35" t="n">
        <f aca="false">+'Amoco Abo'!A43</f>
        <v>37132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458173.46</v>
      </c>
      <c r="C27" s="27" t="n">
        <f aca="false">+B27/$J$4</f>
        <v>165405.581227437</v>
      </c>
      <c r="D27" s="30" t="n">
        <f aca="false">+KN_Westar!D48</f>
        <v>24842</v>
      </c>
      <c r="E27" s="31" t="n">
        <f aca="false">+C27-D27</f>
        <v>140563.581227437</v>
      </c>
      <c r="F27" s="35" t="n">
        <f aca="false">+KN_Westar!A41</f>
        <v>37132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236363.66</v>
      </c>
      <c r="C28" s="30" t="n">
        <f aca="false">+B28/$J$4</f>
        <v>85329.8411552347</v>
      </c>
      <c r="D28" s="30" t="n">
        <f aca="false">+DEFS!M53</f>
        <v>425655</v>
      </c>
      <c r="E28" s="31" t="n">
        <f aca="false">+C28-D28</f>
        <v>-340325.158844765</v>
      </c>
      <c r="F28" s="35" t="n">
        <f aca="false">+DEFS!A40</f>
        <v>37132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480667.28</v>
      </c>
      <c r="C29" s="27" t="n">
        <f aca="false">+B29/$J$4</f>
        <v>173526.093862816</v>
      </c>
      <c r="D29" s="30" t="n">
        <f aca="false">+CIG!D49</f>
        <v>61853</v>
      </c>
      <c r="E29" s="31" t="n">
        <f aca="false">+C29-D29</f>
        <v>111673.093862816</v>
      </c>
      <c r="F29" s="35" t="n">
        <f aca="false">+CIG!A43</f>
        <v>37130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326084.28</v>
      </c>
      <c r="C30" s="27" t="n">
        <f aca="false">+B30/$J$4</f>
        <v>117719.9566787</v>
      </c>
      <c r="D30" s="30" t="n">
        <f aca="false">+mewborne!D49</f>
        <v>129525</v>
      </c>
      <c r="E30" s="31" t="n">
        <f aca="false">+C30-D30</f>
        <v>-11805.0433212996</v>
      </c>
      <c r="F30" s="35" t="n">
        <f aca="false">+mewborne!A43</f>
        <v>37132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485011.93</v>
      </c>
      <c r="C31" s="27" t="n">
        <f aca="false">+B31/$J$4</f>
        <v>175094.559566787</v>
      </c>
      <c r="D31" s="30" t="n">
        <f aca="false">+PGETX!E48</f>
        <v>119964</v>
      </c>
      <c r="E31" s="31" t="n">
        <f aca="false">+C31-D31</f>
        <v>55130.559566787</v>
      </c>
      <c r="F31" s="35" t="n">
        <f aca="false">+PGETX!E39</f>
        <v>37132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138056.7</v>
      </c>
      <c r="C32" s="27" t="n">
        <f aca="false">+B32/$J$4</f>
        <v>49839.963898917</v>
      </c>
      <c r="D32" s="30" t="n">
        <f aca="false">+PNM!D30</f>
        <v>10319</v>
      </c>
      <c r="E32" s="31" t="n">
        <f aca="false">+C32-D32</f>
        <v>39520.963898917</v>
      </c>
      <c r="F32" s="35" t="n">
        <f aca="false">+PNM!A23</f>
        <v>37132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72309.86</v>
      </c>
      <c r="C33" s="27" t="n">
        <f aca="false">+B33/$J$4</f>
        <v>26104.642599278</v>
      </c>
      <c r="D33" s="30" t="n">
        <f aca="false">+EOG!D48</f>
        <v>-88104</v>
      </c>
      <c r="E33" s="31" t="n">
        <f aca="false">+C33-D33</f>
        <v>114208.642599278</v>
      </c>
      <c r="F33" s="32" t="n">
        <f aca="false">+EOG!A41</f>
        <v>37132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16213.65</v>
      </c>
      <c r="C34" s="27" t="n">
        <f aca="false">+B34/$J$4</f>
        <v>5853.30324909747</v>
      </c>
      <c r="D34" s="30" t="n">
        <f aca="false">+SidR!D48</f>
        <v>59052</v>
      </c>
      <c r="E34" s="31" t="n">
        <f aca="false">+C34-D34</f>
        <v>-53198.6967509025</v>
      </c>
      <c r="F34" s="35" t="n">
        <f aca="false">+SidR!A41</f>
        <v>37132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-5216.57</v>
      </c>
      <c r="C35" s="30" t="n">
        <f aca="false">+B35/$J$4</f>
        <v>-1883.23826714801</v>
      </c>
      <c r="D35" s="30" t="n">
        <f aca="false">+Continental!D50</f>
        <v>-17302</v>
      </c>
      <c r="E35" s="31" t="n">
        <f aca="false">+C35-D35</f>
        <v>15418.761732852</v>
      </c>
      <c r="F35" s="35" t="n">
        <f aca="false">+Continental!A43</f>
        <v>37130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-45314</v>
      </c>
      <c r="C36" s="30" t="n">
        <f aca="false">+B36/$J$5</f>
        <v>-15899.649122807</v>
      </c>
      <c r="D36" s="30" t="n">
        <f aca="false">+EPFS!D47</f>
        <v>-4628</v>
      </c>
      <c r="E36" s="31" t="n">
        <f aca="false">+C36-D36</f>
        <v>-11271.649122807</v>
      </c>
      <c r="F36" s="32" t="n">
        <f aca="false">+EPFS!A41</f>
        <v>37132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-88529.63</v>
      </c>
      <c r="C37" s="37" t="n">
        <f aca="false">+B37/$J$4</f>
        <v>-31960.155234657</v>
      </c>
      <c r="D37" s="37" t="n">
        <f aca="false">+Agave!D31</f>
        <v>-66130</v>
      </c>
      <c r="E37" s="38" t="n">
        <f aca="false">+C37-D37</f>
        <v>34169.844765343</v>
      </c>
      <c r="F37" s="32" t="n">
        <f aca="false">+Agave!A24</f>
        <v>37132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3361739.95</v>
      </c>
      <c r="C38" s="43" t="n">
        <f aca="false">SUBTOTAL(9,C24:C37)</f>
        <v>1214083.72632846</v>
      </c>
      <c r="D38" s="43" t="n">
        <f aca="false">SUBTOTAL(9,D24:D37)</f>
        <v>424408</v>
      </c>
      <c r="E38" s="44" t="n">
        <f aca="false">SUBTOTAL(9,E24:E37)</f>
        <v>789675.726328457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2077579.65</v>
      </c>
      <c r="C40" s="43" t="n">
        <f aca="false">SUBTOTAL(9,C12:C37)</f>
        <v>750659.78666291</v>
      </c>
      <c r="D40" s="43" t="n">
        <f aca="false">SUBTOTAL(9,D12:D37)</f>
        <v>181723</v>
      </c>
      <c r="E40" s="44" t="n">
        <f aca="false">SUBTOTAL(9,E12:E37)</f>
        <v>568936.78666291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v>2.61</v>
      </c>
      <c r="K46" s="12" t="n">
        <f aca="true">NOW()</f>
        <v>45926.9540548622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v>2.77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v>2.85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151201</v>
      </c>
      <c r="C55" s="29" t="n">
        <f aca="false">+B55*$J$4</f>
        <v>418826.77</v>
      </c>
      <c r="D55" s="16" t="n">
        <f aca="false">+Mojave!D47</f>
        <v>124792.46</v>
      </c>
      <c r="E55" s="16" t="n">
        <f aca="false">+C55-D55</f>
        <v>294034.31</v>
      </c>
      <c r="F55" s="35" t="n">
        <f aca="false">+Mojave!A40</f>
        <v>37132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164017</v>
      </c>
      <c r="C56" s="29" t="n">
        <f aca="false">+B56*$J$4</f>
        <v>454327.09</v>
      </c>
      <c r="D56" s="16" t="n">
        <f aca="false">+SoCal!D47</f>
        <v>500808.45</v>
      </c>
      <c r="E56" s="16" t="n">
        <f aca="false">+C56-D56</f>
        <v>-46481.36</v>
      </c>
      <c r="F56" s="35" t="n">
        <f aca="false">+SoCal!A40</f>
        <v>37132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64156</v>
      </c>
      <c r="C57" s="29" t="n">
        <f aca="false">+B57*$J$4</f>
        <v>177712.12</v>
      </c>
      <c r="D57" s="16" t="n">
        <f aca="false">+'El Paso'!C46</f>
        <v>-1583274.01</v>
      </c>
      <c r="E57" s="16" t="n">
        <f aca="false">+C57-D57</f>
        <v>1760986.13</v>
      </c>
      <c r="F57" s="35" t="n">
        <f aca="false">+'El Paso'!A39</f>
        <v>37132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42695</v>
      </c>
      <c r="C58" s="36" t="n">
        <f aca="false">+B58*$J$4</f>
        <v>118265.15</v>
      </c>
      <c r="D58" s="36" t="n">
        <f aca="false">+'PG&amp;E'!D47</f>
        <v>-106791.23</v>
      </c>
      <c r="E58" s="36" t="n">
        <f aca="false">+C58-D58</f>
        <v>225056.38</v>
      </c>
      <c r="F58" s="35" t="n">
        <f aca="false">+'PG&amp;E'!A40</f>
        <v>37132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422069</v>
      </c>
      <c r="C59" s="42" t="n">
        <f aca="false">SUBTOTAL(9,C55:C58)</f>
        <v>1169131.13</v>
      </c>
      <c r="D59" s="42" t="n">
        <f aca="false">SUBTOTAL(9,D55:D58)</f>
        <v>-1064464.33</v>
      </c>
      <c r="E59" s="42" t="n">
        <f aca="false">SUBTOTAL(9,E55:E58)</f>
        <v>2233595.46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274930</v>
      </c>
      <c r="C62" s="29" t="n">
        <f aca="false">+B62*$J$3</f>
        <v>717567.3</v>
      </c>
      <c r="D62" s="16" t="n">
        <f aca="false">+williams!D48</f>
        <v>1287037.39</v>
      </c>
      <c r="E62" s="16" t="n">
        <f aca="false">+C62-D62</f>
        <v>-569470.09</v>
      </c>
      <c r="F62" s="32" t="n">
        <f aca="false">+williams!A40</f>
        <v>37132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139784</v>
      </c>
      <c r="C63" s="46" t="n">
        <f aca="false">+B63*J3</f>
        <v>364836.24</v>
      </c>
      <c r="D63" s="58" t="n">
        <f aca="false">+'Red C'!D52</f>
        <v>670650.59</v>
      </c>
      <c r="E63" s="16" t="n">
        <f aca="false">+C63-D63</f>
        <v>-305814.35</v>
      </c>
      <c r="F63" s="32" t="n">
        <f aca="false">+'Red C'!B43</f>
        <v>37132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93070</v>
      </c>
      <c r="C64" s="29" t="n">
        <f aca="false">+B64*$J$3</f>
        <v>242912.7</v>
      </c>
      <c r="D64" s="16" t="n">
        <f aca="false">+Amoco!D47</f>
        <v>511419.6</v>
      </c>
      <c r="E64" s="16" t="n">
        <f aca="false">+C64-D64</f>
        <v>-268506.9</v>
      </c>
      <c r="F64" s="35" t="n">
        <f aca="false">+Amoco!A40</f>
        <v>37132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-72089</v>
      </c>
      <c r="C65" s="29" t="n">
        <f aca="false">+B65*$J$3</f>
        <v>-188152.29</v>
      </c>
      <c r="D65" s="16" t="n">
        <f aca="false">+'El Paso'!F46</f>
        <v>-656715.24</v>
      </c>
      <c r="E65" s="16" t="n">
        <f aca="false">+C65-D65</f>
        <v>468562.95</v>
      </c>
      <c r="F65" s="35" t="n">
        <f aca="false">+'El Paso'!A39</f>
        <v>37132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70890</v>
      </c>
      <c r="C66" s="36" t="n">
        <f aca="false">+B66*$J$3</f>
        <v>185022.9</v>
      </c>
      <c r="D66" s="36" t="n">
        <f aca="false">+NW!E49</f>
        <v>-316085.64</v>
      </c>
      <c r="E66" s="36" t="n">
        <f aca="false">+C66-D66</f>
        <v>501108.54</v>
      </c>
      <c r="F66" s="32" t="n">
        <f aca="false">+NW!B41</f>
        <v>37132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506585</v>
      </c>
      <c r="C67" s="42" t="n">
        <f aca="false">SUBTOTAL(9,C62:C66)</f>
        <v>1322186.85</v>
      </c>
      <c r="D67" s="42" t="n">
        <f aca="false">SUBTOTAL(9,D62:D66)</f>
        <v>1496306.7</v>
      </c>
      <c r="E67" s="42" t="n">
        <f aca="false">SUBTOTAL(9,E62:E66)</f>
        <v>-174119.85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121708</v>
      </c>
      <c r="C70" s="29" t="n">
        <f aca="false">+B70*$J$4</f>
        <v>337131.16</v>
      </c>
      <c r="D70" s="16" t="n">
        <f aca="false">+NGPL!D45</f>
        <v>305881.7</v>
      </c>
      <c r="E70" s="16" t="n">
        <f aca="false">+C70-D70</f>
        <v>31249.46</v>
      </c>
      <c r="F70" s="35" t="n">
        <f aca="false">+NGPL!A38</f>
        <v>37132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49491</v>
      </c>
      <c r="C71" s="46" t="n">
        <f aca="false">+B71*$J$4</f>
        <v>137090.07</v>
      </c>
      <c r="D71" s="16" t="n">
        <f aca="false">+PEPL!D47</f>
        <v>266890.12</v>
      </c>
      <c r="E71" s="16" t="n">
        <f aca="false">+C71-D71</f>
        <v>-129800.05</v>
      </c>
      <c r="F71" s="35" t="n">
        <f aca="false">+PEPL!A41</f>
        <v>37132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40819</v>
      </c>
      <c r="C72" s="29" t="n">
        <f aca="false">+B72*$J$4</f>
        <v>113068.63</v>
      </c>
      <c r="D72" s="16" t="n">
        <f aca="false">+Oasis!D47</f>
        <v>-271373.55</v>
      </c>
      <c r="E72" s="16" t="n">
        <f aca="false">+C72-D72</f>
        <v>384442.18</v>
      </c>
      <c r="F72" s="35" t="n">
        <f aca="false">+Oasis!B40</f>
        <v>37132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72147</v>
      </c>
      <c r="C73" s="36" t="n">
        <f aca="false">+B73*$J$4</f>
        <v>199847.19</v>
      </c>
      <c r="D73" s="36" t="n">
        <f aca="false">+Lonestar!D49</f>
        <v>69219.75</v>
      </c>
      <c r="E73" s="36" t="n">
        <f aca="false">+C73-D73</f>
        <v>130627.44</v>
      </c>
      <c r="F73" s="32" t="n">
        <f aca="false">+Lonestar!B42</f>
        <v>37132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284165</v>
      </c>
      <c r="C74" s="42" t="n">
        <f aca="false">SUBTOTAL(9,C70:C73)</f>
        <v>787137.05</v>
      </c>
      <c r="D74" s="42" t="n">
        <f aca="false">SUBTOTAL(9,D70:D73)</f>
        <v>370618.02</v>
      </c>
      <c r="E74" s="42" t="n">
        <f aca="false">SUBTOTAL(9,E70:E73)</f>
        <v>416519.03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1212819</v>
      </c>
      <c r="C76" s="42" t="n">
        <f aca="false">SUBTOTAL(9,C55:C73)</f>
        <v>3278455.03</v>
      </c>
      <c r="D76" s="42" t="n">
        <f aca="false">SUBTOTAL(9,D55:D73)</f>
        <v>802460.39</v>
      </c>
      <c r="E76" s="42" t="n">
        <f aca="false">SUBTOTAL(9,E55:E73)</f>
        <v>2475994.64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5356034.68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1963478.78666291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36" activeCellId="3" sqref="E38 C38 B10 B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141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118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118</v>
      </c>
      <c r="AF5" s="18"/>
      <c r="AG5" s="18"/>
      <c r="AH5" s="192"/>
      <c r="AI5" s="192" t="s">
        <v>118</v>
      </c>
      <c r="AJ5" s="18"/>
      <c r="AK5" s="18"/>
      <c r="AL5" s="192"/>
      <c r="AM5" s="192" t="s">
        <v>118</v>
      </c>
      <c r="AN5" s="18"/>
      <c r="AO5" s="18"/>
      <c r="AP5" s="192"/>
      <c r="AQ5" s="192" t="s">
        <v>118</v>
      </c>
      <c r="AR5" s="18"/>
      <c r="AS5" s="18"/>
      <c r="AT5" s="192"/>
      <c r="AU5" s="192" t="s">
        <v>118</v>
      </c>
      <c r="AV5" s="18"/>
    </row>
    <row r="6" customFormat="false" ht="12.75" hidden="false" customHeight="false" outlineLevel="0" collapsed="false">
      <c r="B6" s="145" t="s">
        <v>115</v>
      </c>
      <c r="C6" s="145" t="s">
        <v>116</v>
      </c>
      <c r="D6" s="145" t="s">
        <v>115</v>
      </c>
      <c r="E6" s="145" t="s">
        <v>116</v>
      </c>
      <c r="F6" s="101" t="s">
        <v>142</v>
      </c>
      <c r="G6" s="24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136</v>
      </c>
      <c r="AE6" s="145" t="s">
        <v>137</v>
      </c>
      <c r="AF6" s="101" t="s">
        <v>142</v>
      </c>
      <c r="AG6" s="127"/>
      <c r="AH6" s="145" t="s">
        <v>136</v>
      </c>
      <c r="AI6" s="145" t="s">
        <v>137</v>
      </c>
      <c r="AJ6" s="101" t="s">
        <v>142</v>
      </c>
      <c r="AK6" s="127"/>
      <c r="AL6" s="145" t="s">
        <v>136</v>
      </c>
      <c r="AM6" s="145" t="s">
        <v>137</v>
      </c>
      <c r="AN6" s="101" t="s">
        <v>142</v>
      </c>
      <c r="AO6" s="127"/>
      <c r="AP6" s="145" t="s">
        <v>136</v>
      </c>
      <c r="AQ6" s="145" t="s">
        <v>137</v>
      </c>
      <c r="AR6" s="101" t="s">
        <v>142</v>
      </c>
      <c r="AS6" s="127"/>
      <c r="AT6" s="145" t="s">
        <v>136</v>
      </c>
      <c r="AU6" s="145" t="s">
        <v>137</v>
      </c>
      <c r="AV6" s="101" t="s">
        <v>142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59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135583</v>
      </c>
      <c r="C8" s="108" t="n">
        <v>136569</v>
      </c>
      <c r="D8" s="108" t="n">
        <v>13121</v>
      </c>
      <c r="E8" s="108" t="n">
        <v>13535</v>
      </c>
      <c r="F8" s="108" t="n">
        <f aca="false">+C8-B8+E8-D8</f>
        <v>1400</v>
      </c>
      <c r="G8" s="104"/>
      <c r="H8" s="127"/>
      <c r="I8" s="191"/>
      <c r="J8" s="159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136387</v>
      </c>
      <c r="C9" s="108" t="n">
        <v>135717</v>
      </c>
      <c r="D9" s="108" t="n">
        <v>13025</v>
      </c>
      <c r="E9" s="108" t="n">
        <v>13535</v>
      </c>
      <c r="F9" s="108" t="n">
        <f aca="false">+C9-B9+E9-D9</f>
        <v>-160</v>
      </c>
      <c r="G9" s="104"/>
      <c r="H9" s="127"/>
      <c r="I9" s="191"/>
      <c r="J9" s="159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136601</v>
      </c>
      <c r="C10" s="108" t="n">
        <v>134408</v>
      </c>
      <c r="D10" s="108" t="n">
        <v>12516</v>
      </c>
      <c r="E10" s="108" t="n">
        <v>13535</v>
      </c>
      <c r="F10" s="108" t="n">
        <f aca="false">+C10-B10+E10-D10</f>
        <v>-1174</v>
      </c>
      <c r="G10" s="104"/>
      <c r="H10" s="127"/>
      <c r="I10" s="191"/>
      <c r="J10" s="159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135865</v>
      </c>
      <c r="C11" s="108" t="n">
        <v>133237</v>
      </c>
      <c r="D11" s="108" t="n">
        <v>12626</v>
      </c>
      <c r="E11" s="108" t="n">
        <v>13033</v>
      </c>
      <c r="F11" s="108" t="n">
        <f aca="false">+C11-B11+E11-D11</f>
        <v>-2221</v>
      </c>
      <c r="G11" s="104"/>
      <c r="H11" s="127"/>
      <c r="I11" s="133"/>
      <c r="J11" s="159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133471</v>
      </c>
      <c r="C12" s="108" t="n">
        <v>133237</v>
      </c>
      <c r="D12" s="108" t="n">
        <v>12524</v>
      </c>
      <c r="E12" s="108" t="n">
        <v>13033</v>
      </c>
      <c r="F12" s="108" t="n">
        <f aca="false">+C12-B12+E12-D12</f>
        <v>275</v>
      </c>
      <c r="G12" s="104"/>
      <c r="H12" s="127"/>
      <c r="I12" s="159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 t="n">
        <v>134006</v>
      </c>
      <c r="C13" s="108" t="n">
        <v>133237</v>
      </c>
      <c r="D13" s="108" t="n">
        <v>13295</v>
      </c>
      <c r="E13" s="108" t="n">
        <v>13033</v>
      </c>
      <c r="F13" s="108" t="n">
        <f aca="false">+C13-B13+E13-D13</f>
        <v>-1031</v>
      </c>
      <c r="G13" s="104"/>
      <c r="H13" s="127"/>
      <c r="I13" s="159"/>
      <c r="J13" s="159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 t="n">
        <v>134912</v>
      </c>
      <c r="C14" s="108" t="n">
        <v>135829</v>
      </c>
      <c r="D14" s="108" t="n">
        <v>13535</v>
      </c>
      <c r="E14" s="108" t="n">
        <v>12532</v>
      </c>
      <c r="F14" s="108" t="n">
        <f aca="false">+C14-B14+E14-D14</f>
        <v>-86</v>
      </c>
      <c r="G14" s="104"/>
      <c r="H14" s="127"/>
      <c r="I14" s="159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 t="n">
        <v>134512</v>
      </c>
      <c r="C15" s="108" t="n">
        <v>132577</v>
      </c>
      <c r="D15" s="108" t="n">
        <v>13538</v>
      </c>
      <c r="E15" s="108" t="n">
        <v>12532</v>
      </c>
      <c r="F15" s="108" t="n">
        <f aca="false">+C15-B15+E15-D15</f>
        <v>-2941</v>
      </c>
      <c r="G15" s="104"/>
      <c r="H15" s="127"/>
      <c r="I15" s="159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 t="n">
        <v>136608</v>
      </c>
      <c r="C16" s="108" t="n">
        <v>136963</v>
      </c>
      <c r="D16" s="108" t="n">
        <v>13485</v>
      </c>
      <c r="E16" s="108" t="n">
        <v>12532</v>
      </c>
      <c r="F16" s="108" t="n">
        <f aca="false">+C16-B16+E16-D16</f>
        <v>-598</v>
      </c>
      <c r="G16" s="104"/>
      <c r="H16" s="127"/>
      <c r="I16" s="159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 t="n">
        <v>143113</v>
      </c>
      <c r="C17" s="108" t="n">
        <v>141646</v>
      </c>
      <c r="D17" s="108" t="n">
        <v>13377</v>
      </c>
      <c r="E17" s="108" t="n">
        <v>12532</v>
      </c>
      <c r="F17" s="108" t="n">
        <f aca="false">+C17-B17+E17-D17</f>
        <v>-2312</v>
      </c>
      <c r="G17" s="104"/>
      <c r="H17" s="127"/>
      <c r="I17" s="159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 t="n">
        <v>141898</v>
      </c>
      <c r="C18" s="108" t="n">
        <v>141616</v>
      </c>
      <c r="D18" s="108" t="n">
        <v>13005</v>
      </c>
      <c r="E18" s="108" t="n">
        <v>12532</v>
      </c>
      <c r="F18" s="108" t="n">
        <f aca="false">+C18-B18+E18-D18</f>
        <v>-755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 t="n">
        <v>146840</v>
      </c>
      <c r="C19" s="108" t="n">
        <v>146894</v>
      </c>
      <c r="D19" s="108" t="n">
        <v>12622</v>
      </c>
      <c r="E19" s="108" t="n">
        <v>12532</v>
      </c>
      <c r="F19" s="108" t="n">
        <f aca="false">+C19-B19+E19-D19</f>
        <v>-36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 t="n">
        <v>138816</v>
      </c>
      <c r="C20" s="108" t="n">
        <v>137624</v>
      </c>
      <c r="D20" s="108" t="n">
        <v>11029</v>
      </c>
      <c r="E20" s="108" t="n">
        <v>12532</v>
      </c>
      <c r="F20" s="108" t="n">
        <f aca="false">+C20-B20+E20-D20</f>
        <v>311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 t="n">
        <v>147189</v>
      </c>
      <c r="C21" s="108" t="n">
        <v>146894</v>
      </c>
      <c r="D21" s="108" t="n">
        <v>12935</v>
      </c>
      <c r="E21" s="108" t="n">
        <v>12532</v>
      </c>
      <c r="F21" s="108" t="n">
        <f aca="false">+C21-B21+E21-D21</f>
        <v>-698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 t="n">
        <v>140386</v>
      </c>
      <c r="C22" s="108" t="n">
        <v>140915</v>
      </c>
      <c r="D22" s="108" t="n">
        <v>12623</v>
      </c>
      <c r="E22" s="108" t="n">
        <v>12532</v>
      </c>
      <c r="F22" s="108" t="n">
        <f aca="false">+C22-B22+E22-D22</f>
        <v>438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 t="n">
        <v>141948</v>
      </c>
      <c r="C23" s="108" t="n">
        <v>141882</v>
      </c>
      <c r="D23" s="108" t="n">
        <v>12641</v>
      </c>
      <c r="E23" s="108" t="n">
        <v>12532</v>
      </c>
      <c r="F23" s="108" t="n">
        <f aca="false">+C23-B23+E23-D23</f>
        <v>-175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 t="n">
        <v>140303</v>
      </c>
      <c r="C24" s="108" t="n">
        <v>139659</v>
      </c>
      <c r="D24" s="108" t="n">
        <v>12615</v>
      </c>
      <c r="E24" s="108" t="n">
        <v>12532</v>
      </c>
      <c r="F24" s="108" t="n">
        <f aca="false">+C24-B24+E24-D24</f>
        <v>-727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143</v>
      </c>
      <c r="B25" s="108" t="n">
        <v>142945</v>
      </c>
      <c r="C25" s="108" t="n">
        <v>142830</v>
      </c>
      <c r="D25" s="108" t="n">
        <v>12628</v>
      </c>
      <c r="E25" s="108" t="n">
        <v>12532</v>
      </c>
      <c r="F25" s="108" t="n">
        <f aca="false">+C25-B25+E25-D25</f>
        <v>-211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143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143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143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143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 t="n">
        <v>138040</v>
      </c>
      <c r="C26" s="108" t="n">
        <v>138430</v>
      </c>
      <c r="D26" s="108" t="n">
        <v>11271</v>
      </c>
      <c r="E26" s="108" t="n">
        <v>12532</v>
      </c>
      <c r="F26" s="108" t="n">
        <f aca="false">+C26-B26+E26-D26</f>
        <v>1651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 t="n">
        <v>131479</v>
      </c>
      <c r="C27" s="108" t="n">
        <v>131398</v>
      </c>
      <c r="D27" s="108"/>
      <c r="E27" s="108"/>
      <c r="F27" s="108" t="n">
        <f aca="false">+C27-B27+E27-D27</f>
        <v>-81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 t="n">
        <v>145720</v>
      </c>
      <c r="C28" s="108" t="n">
        <v>145465</v>
      </c>
      <c r="D28" s="108" t="n">
        <v>10112</v>
      </c>
      <c r="E28" s="108" t="n">
        <v>12532</v>
      </c>
      <c r="F28" s="108" t="n">
        <f aca="false">+C28-B28+E28-D28</f>
        <v>2165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 t="n">
        <v>144699</v>
      </c>
      <c r="C29" s="108" t="n">
        <v>144643</v>
      </c>
      <c r="D29" s="108" t="n">
        <v>14070</v>
      </c>
      <c r="E29" s="108" t="n">
        <v>12532</v>
      </c>
      <c r="F29" s="108" t="n">
        <f aca="false">+C29-B29+E29-D29</f>
        <v>-1594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 t="n">
        <v>143989</v>
      </c>
      <c r="C30" s="108" t="n">
        <v>141813</v>
      </c>
      <c r="D30" s="108" t="n">
        <v>13039</v>
      </c>
      <c r="E30" s="108" t="n">
        <v>12532</v>
      </c>
      <c r="F30" s="108" t="n">
        <f aca="false">+C30-B30+E30-D30</f>
        <v>-2683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 t="n">
        <v>143943</v>
      </c>
      <c r="C31" s="108" t="n">
        <v>144862</v>
      </c>
      <c r="D31" s="108" t="n">
        <v>12535</v>
      </c>
      <c r="E31" s="108" t="n">
        <v>12532</v>
      </c>
      <c r="F31" s="108" t="n">
        <f aca="false">+C31-B31+E31-D31</f>
        <v>916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 t="n">
        <v>144473</v>
      </c>
      <c r="C32" s="108" t="n">
        <v>144669</v>
      </c>
      <c r="D32" s="108" t="n">
        <v>11941</v>
      </c>
      <c r="E32" s="108" t="n">
        <v>12532</v>
      </c>
      <c r="F32" s="108" t="n">
        <f aca="false">+C32-B32+E32-D32</f>
        <v>787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 t="n">
        <v>147274</v>
      </c>
      <c r="C33" s="108" t="n">
        <v>147179</v>
      </c>
      <c r="D33" s="108" t="n">
        <v>12678</v>
      </c>
      <c r="E33" s="108" t="n">
        <v>12532</v>
      </c>
      <c r="F33" s="108" t="n">
        <f aca="false">+C33-B33+E33-D33</f>
        <v>-241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 t="n">
        <v>146317</v>
      </c>
      <c r="C34" s="108" t="n">
        <v>147597</v>
      </c>
      <c r="D34" s="108" t="n">
        <v>12682</v>
      </c>
      <c r="E34" s="108" t="n">
        <v>12532</v>
      </c>
      <c r="F34" s="108" t="n">
        <f aca="false">+C34-B34+E34-D34</f>
        <v>1130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08" t="n">
        <v>158000</v>
      </c>
      <c r="C35" s="108" t="n">
        <v>158653</v>
      </c>
      <c r="D35" s="108" t="n">
        <v>12737</v>
      </c>
      <c r="E35" s="108" t="n">
        <v>12532</v>
      </c>
      <c r="F35" s="108" t="n">
        <f aca="false">+C35-B35+E35-D35</f>
        <v>448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 t="n">
        <v>157955</v>
      </c>
      <c r="C36" s="108" t="n">
        <v>158859</v>
      </c>
      <c r="D36" s="108" t="n">
        <v>12582</v>
      </c>
      <c r="E36" s="108" t="n">
        <v>12532</v>
      </c>
      <c r="F36" s="108" t="n">
        <f aca="false">+C36-B36+E36-D36</f>
        <v>854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4103272</v>
      </c>
      <c r="C39" s="108" t="n">
        <f aca="false">SUM(C8:C38)</f>
        <v>4095302</v>
      </c>
      <c r="D39" s="108" t="n">
        <f aca="false">SUM(D8:D38)</f>
        <v>354787</v>
      </c>
      <c r="E39" s="108" t="n">
        <f aca="false">SUM(E8:E38)</f>
        <v>355408</v>
      </c>
      <c r="F39" s="108" t="n">
        <f aca="false">+C39-B39+E39-D39</f>
        <v>-7349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1"/>
      <c r="D41" s="41"/>
      <c r="E41" s="41"/>
      <c r="F41" s="236"/>
      <c r="G41" s="234"/>
      <c r="H41" s="226"/>
      <c r="I41" s="234"/>
      <c r="J41" s="41"/>
      <c r="K41" s="223"/>
      <c r="L41" s="223"/>
      <c r="M41" s="226"/>
      <c r="N41" s="234"/>
      <c r="O41" s="41"/>
      <c r="P41" s="223"/>
      <c r="Q41" s="226"/>
      <c r="R41" s="234"/>
      <c r="S41" s="41"/>
      <c r="T41" s="223"/>
      <c r="U41" s="226"/>
      <c r="V41" s="234"/>
      <c r="W41" s="41"/>
      <c r="X41" s="223"/>
      <c r="Y41" s="226"/>
      <c r="Z41" s="234"/>
      <c r="AA41" s="41"/>
      <c r="AB41" s="223"/>
      <c r="AC41" s="226"/>
      <c r="AD41" s="234"/>
      <c r="AE41" s="41"/>
      <c r="AF41" s="223"/>
      <c r="AG41" s="226"/>
      <c r="AH41" s="234"/>
      <c r="AI41" s="41"/>
      <c r="AJ41" s="223"/>
      <c r="AK41" s="226"/>
      <c r="AL41" s="234"/>
      <c r="AM41" s="41"/>
      <c r="AN41" s="223"/>
      <c r="AO41" s="226"/>
      <c r="AP41" s="234"/>
      <c r="AQ41" s="41"/>
      <c r="AR41" s="223"/>
      <c r="AS41" s="226"/>
      <c r="AT41" s="234"/>
      <c r="AU41" s="41"/>
      <c r="AV41" s="223"/>
    </row>
    <row r="42" customFormat="false" ht="12.75" hidden="false" customHeight="false" outlineLevel="0" collapsed="false">
      <c r="A42" s="221"/>
      <c r="B42" s="237" t="n">
        <v>37103</v>
      </c>
      <c r="C42" s="41"/>
      <c r="D42" s="41"/>
      <c r="E42" s="41"/>
      <c r="F42" s="154" t="n">
        <v>147133</v>
      </c>
      <c r="G42" s="226"/>
      <c r="I42" s="234"/>
      <c r="J42" s="41"/>
      <c r="K42" s="147"/>
      <c r="L42" s="223"/>
      <c r="M42" s="221"/>
      <c r="N42" s="234"/>
      <c r="O42" s="41"/>
      <c r="P42" s="147"/>
      <c r="Q42" s="221"/>
      <c r="R42" s="234"/>
      <c r="S42" s="41"/>
      <c r="T42" s="147"/>
      <c r="U42" s="221"/>
      <c r="V42" s="234"/>
      <c r="W42" s="41"/>
      <c r="X42" s="147"/>
      <c r="Y42" s="221"/>
      <c r="Z42" s="237"/>
      <c r="AA42" s="41"/>
      <c r="AB42" s="147"/>
      <c r="AC42" s="221"/>
      <c r="AD42" s="237" t="n">
        <v>36464</v>
      </c>
      <c r="AE42" s="41"/>
      <c r="AF42" s="147" t="n">
        <v>44054</v>
      </c>
      <c r="AG42" s="221"/>
      <c r="AH42" s="237" t="n">
        <v>36494</v>
      </c>
      <c r="AI42" s="41"/>
      <c r="AJ42" s="147" t="n">
        <v>80035</v>
      </c>
      <c r="AK42" s="221"/>
      <c r="AL42" s="237" t="n">
        <v>36525</v>
      </c>
      <c r="AM42" s="41"/>
      <c r="AN42" s="147" t="n">
        <v>144671</v>
      </c>
      <c r="AO42" s="221"/>
      <c r="AP42" s="237" t="n">
        <v>36556</v>
      </c>
      <c r="AQ42" s="41"/>
      <c r="AR42" s="147" t="n">
        <v>218762</v>
      </c>
      <c r="AS42" s="221"/>
      <c r="AT42" s="237"/>
      <c r="AU42" s="41"/>
      <c r="AV42" s="108"/>
    </row>
    <row r="43" customFormat="false" ht="12.75" hidden="false" customHeight="false" outlineLevel="0" collapsed="false">
      <c r="A43" s="221"/>
      <c r="B43" s="237" t="n">
        <v>37132</v>
      </c>
      <c r="C43" s="223"/>
      <c r="D43" s="223"/>
      <c r="E43" s="223"/>
      <c r="F43" s="108" t="n">
        <f aca="false">+F42+F39</f>
        <v>139784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1"/>
      <c r="J45" s="223"/>
      <c r="K45" s="235"/>
      <c r="L45" s="223"/>
      <c r="M45" s="226"/>
      <c r="N45" s="41"/>
      <c r="O45" s="223"/>
      <c r="P45" s="235"/>
      <c r="Q45" s="226"/>
      <c r="R45" s="41"/>
      <c r="S45" s="223"/>
      <c r="T45" s="235"/>
      <c r="U45" s="226"/>
      <c r="V45" s="41"/>
      <c r="W45" s="223"/>
      <c r="X45" s="235"/>
      <c r="Y45" s="226"/>
      <c r="Z45" s="41"/>
      <c r="AA45" s="223"/>
      <c r="AB45" s="235"/>
      <c r="AC45" s="226"/>
      <c r="AD45" s="41" t="s">
        <v>144</v>
      </c>
      <c r="AE45" s="223"/>
      <c r="AF45" s="235" t="n">
        <f aca="false">+AF42+AF39</f>
        <v>89870</v>
      </c>
      <c r="AG45" s="226"/>
      <c r="AH45" s="41" t="s">
        <v>145</v>
      </c>
      <c r="AI45" s="223"/>
      <c r="AJ45" s="235" t="n">
        <f aca="false">+AJ42+AJ39</f>
        <v>144671</v>
      </c>
      <c r="AK45" s="226"/>
      <c r="AL45" s="41" t="s">
        <v>146</v>
      </c>
      <c r="AM45" s="223"/>
      <c r="AN45" s="239" t="n">
        <f aca="false">+AN42+AN39</f>
        <v>218762</v>
      </c>
      <c r="AO45" s="226"/>
      <c r="AP45" s="41" t="s">
        <v>147</v>
      </c>
      <c r="AQ45" s="223"/>
      <c r="AR45" s="239" t="n">
        <f aca="false">+AR42+AR39</f>
        <v>223447</v>
      </c>
      <c r="AS45" s="226"/>
      <c r="AT45" s="41"/>
      <c r="AU45" s="223"/>
      <c r="AV45" s="240"/>
      <c r="AW45" s="226"/>
      <c r="AX45" s="41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37103</v>
      </c>
      <c r="B50" s="9"/>
      <c r="C50" s="9"/>
      <c r="D50" s="125" t="n">
        <v>689831.48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37132</v>
      </c>
      <c r="B51" s="9"/>
      <c r="C51" s="9"/>
      <c r="D51" s="126" t="n">
        <f aca="false">+F39*'by type'!J3</f>
        <v>-19180.89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670650.59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81</v>
      </c>
      <c r="F79" s="223"/>
      <c r="G79" s="226"/>
      <c r="H79" s="226"/>
    </row>
    <row r="80" customFormat="false" ht="12.75" hidden="false" customHeight="false" outlineLevel="0" collapsed="false">
      <c r="A80" s="246" t="s">
        <v>149</v>
      </c>
      <c r="F80" s="223"/>
      <c r="G80" s="226"/>
      <c r="H80" s="226"/>
    </row>
    <row r="81" customFormat="false" ht="12.75" hidden="false" customHeight="false" outlineLevel="0" collapsed="false">
      <c r="A81" s="246" t="s">
        <v>150</v>
      </c>
      <c r="F81" s="223"/>
      <c r="G81" s="226"/>
    </row>
    <row r="84" customFormat="false" ht="12.75" hidden="false" customHeight="false" outlineLevel="0" collapsed="false">
      <c r="A84" s="228"/>
      <c r="B84" s="230" t="s">
        <v>151</v>
      </c>
      <c r="C84" s="230" t="s">
        <v>32</v>
      </c>
      <c r="D84" s="230"/>
      <c r="E84" s="230"/>
      <c r="F84" s="228"/>
      <c r="H84" s="228"/>
      <c r="I84" s="230" t="s">
        <v>151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118</v>
      </c>
      <c r="C85" s="247" t="s">
        <v>119</v>
      </c>
      <c r="D85" s="247"/>
      <c r="E85" s="247"/>
      <c r="F85" s="248" t="s">
        <v>120</v>
      </c>
      <c r="H85" s="228"/>
      <c r="I85" s="247" t="s">
        <v>118</v>
      </c>
      <c r="J85" s="247" t="s">
        <v>119</v>
      </c>
      <c r="K85" s="248" t="s">
        <v>120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152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153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154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155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156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4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81</v>
      </c>
      <c r="F118" s="223"/>
      <c r="G118" s="226"/>
      <c r="H118" s="250"/>
    </row>
    <row r="119" customFormat="false" ht="12.75" hidden="false" customHeight="false" outlineLevel="0" collapsed="false">
      <c r="A119" s="246" t="s">
        <v>149</v>
      </c>
      <c r="F119" s="223"/>
      <c r="G119" s="226"/>
      <c r="H119" s="250"/>
    </row>
    <row r="120" customFormat="false" ht="12.75" hidden="false" customHeight="false" outlineLevel="0" collapsed="false">
      <c r="A120" s="246" t="s">
        <v>150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151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118</v>
      </c>
      <c r="C125" s="263" t="s">
        <v>119</v>
      </c>
      <c r="D125" s="263"/>
      <c r="E125" s="263"/>
      <c r="F125" s="264" t="s">
        <v>120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3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3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3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3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3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3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3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3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3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3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3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3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3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3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3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3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3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3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3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3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3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3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3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3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3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3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158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73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3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3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3" t="n">
        <v>36220</v>
      </c>
      <c r="B172" s="128" t="n">
        <v>29</v>
      </c>
      <c r="C172" s="129" t="n">
        <v>46.11</v>
      </c>
      <c r="F172" s="174" t="n">
        <f aca="false">+C172/B172</f>
        <v>1.59</v>
      </c>
    </row>
    <row r="173" customFormat="false" ht="12.75" hidden="false" customHeight="false" outlineLevel="0" collapsed="false">
      <c r="A173" s="173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160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161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162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2" activeCellId="3" sqref="C34 C13 B41 B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163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115</v>
      </c>
      <c r="C4" s="192" t="s">
        <v>116</v>
      </c>
      <c r="D4" s="274" t="s">
        <v>134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-55850</v>
      </c>
      <c r="C5" s="108" t="n">
        <v>-55438</v>
      </c>
      <c r="D5" s="108" t="n">
        <f aca="false">+C5-B5</f>
        <v>412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-43999</v>
      </c>
      <c r="C6" s="108" t="n">
        <v>-43938</v>
      </c>
      <c r="D6" s="108" t="n">
        <f aca="false">+C6-B6</f>
        <v>61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-29392</v>
      </c>
      <c r="C7" s="108" t="n">
        <v>-29570</v>
      </c>
      <c r="D7" s="108" t="n">
        <f aca="false">+C7-B7</f>
        <v>-178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-59280</v>
      </c>
      <c r="C8" s="108" t="n">
        <v>-59683</v>
      </c>
      <c r="D8" s="108" t="n">
        <f aca="false">+C8-B8</f>
        <v>-403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-59827</v>
      </c>
      <c r="C9" s="108" t="n">
        <v>-59683</v>
      </c>
      <c r="D9" s="108" t="n">
        <f aca="false">+C9-B9</f>
        <v>144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 t="n">
        <v>-58120</v>
      </c>
      <c r="C10" s="108" t="n">
        <v>-57497</v>
      </c>
      <c r="D10" s="108" t="n">
        <f aca="false">+C10-B10</f>
        <v>623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 t="n">
        <v>-52462</v>
      </c>
      <c r="C11" s="108" t="n">
        <v>-52789</v>
      </c>
      <c r="D11" s="108" t="n">
        <f aca="false">+C11-B11</f>
        <v>-327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 t="n">
        <v>-94542</v>
      </c>
      <c r="C12" s="108" t="n">
        <v>-93200</v>
      </c>
      <c r="D12" s="108" t="n">
        <f aca="false">+C12-B12</f>
        <v>1342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 t="n">
        <v>-59632</v>
      </c>
      <c r="C13" s="108" t="n">
        <v>-58938</v>
      </c>
      <c r="D13" s="108" t="n">
        <f aca="false">+C13-B13</f>
        <v>694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 t="n">
        <v>-88592</v>
      </c>
      <c r="C14" s="108" t="n">
        <v>-88150</v>
      </c>
      <c r="D14" s="108" t="n">
        <f aca="false">+C14-B14</f>
        <v>442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 t="n">
        <v>-53451</v>
      </c>
      <c r="C15" s="108" t="n">
        <v>-52903</v>
      </c>
      <c r="D15" s="108" t="n">
        <f aca="false">+C15-B15</f>
        <v>548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 t="n">
        <v>-52850</v>
      </c>
      <c r="C16" s="108" t="n">
        <v>-52903</v>
      </c>
      <c r="D16" s="108" t="n">
        <f aca="false">+C16-B16</f>
        <v>-53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 t="n">
        <v>-52893</v>
      </c>
      <c r="C17" s="108" t="n">
        <v>-52903</v>
      </c>
      <c r="D17" s="108" t="n">
        <f aca="false">+C17-B17</f>
        <v>-10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 t="n">
        <v>-59252</v>
      </c>
      <c r="C18" s="108" t="n">
        <v>-59157</v>
      </c>
      <c r="D18" s="108" t="n">
        <f aca="false">+C18-B18</f>
        <v>95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 t="n">
        <v>-47665</v>
      </c>
      <c r="C19" s="108" t="n">
        <v>-47738</v>
      </c>
      <c r="D19" s="108" t="n">
        <f aca="false">+C19-B19</f>
        <v>-73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 t="n">
        <v>-43304</v>
      </c>
      <c r="C20" s="108" t="n">
        <v>-43210</v>
      </c>
      <c r="D20" s="108" t="n">
        <f aca="false">+C20-B20</f>
        <v>94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 t="n">
        <v>-81707</v>
      </c>
      <c r="C21" s="108" t="n">
        <v>-81915</v>
      </c>
      <c r="D21" s="108" t="n">
        <f aca="false">+C21-B21</f>
        <v>-208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 t="n">
        <v>-42631</v>
      </c>
      <c r="C22" s="108" t="n">
        <v>-42144</v>
      </c>
      <c r="D22" s="108" t="n">
        <f aca="false">+C22-B22</f>
        <v>487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 t="n">
        <v>-43653</v>
      </c>
      <c r="C23" s="108" t="n">
        <v>-41943</v>
      </c>
      <c r="D23" s="108" t="n">
        <f aca="false">+C23-B23</f>
        <v>1710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 t="n">
        <v>-43713</v>
      </c>
      <c r="C24" s="108" t="n">
        <v>-42140</v>
      </c>
      <c r="D24" s="108" t="n">
        <f aca="false">+C24-B24</f>
        <v>1573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 t="n">
        <v>-36219</v>
      </c>
      <c r="C25" s="108" t="n">
        <v>-35934</v>
      </c>
      <c r="D25" s="108" t="n">
        <f aca="false">+C25-B25</f>
        <v>285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 t="n">
        <v>-87894</v>
      </c>
      <c r="C26" s="108" t="n">
        <v>-87282</v>
      </c>
      <c r="D26" s="108" t="n">
        <f aca="false">+C26-B26</f>
        <v>612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 t="n">
        <v>-50383</v>
      </c>
      <c r="C27" s="108" t="n">
        <v>-50285</v>
      </c>
      <c r="D27" s="108" t="n">
        <f aca="false">+C27-B27</f>
        <v>98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 t="n">
        <v>-65432</v>
      </c>
      <c r="C28" s="108" t="n">
        <v>-65738</v>
      </c>
      <c r="D28" s="108" t="n">
        <f aca="false">+C28-B28</f>
        <v>-306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 t="n">
        <v>-88880</v>
      </c>
      <c r="C29" s="108" t="n">
        <v>-88719</v>
      </c>
      <c r="D29" s="108" t="n">
        <f aca="false">+C29-B29</f>
        <v>161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 t="n">
        <v>-89441</v>
      </c>
      <c r="C30" s="108" t="n">
        <v>-88745</v>
      </c>
      <c r="D30" s="108" t="n">
        <f aca="false">+C30-B30</f>
        <v>696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 t="n">
        <v>-88618</v>
      </c>
      <c r="C31" s="108" t="n">
        <v>-88659</v>
      </c>
      <c r="D31" s="108" t="n">
        <f aca="false">+C31-B31</f>
        <v>-41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08" t="n">
        <v>-64764</v>
      </c>
      <c r="C32" s="108" t="n">
        <v>-68012</v>
      </c>
      <c r="D32" s="108" t="n">
        <f aca="false">+C32-B32</f>
        <v>-3248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 t="n">
        <v>-98895</v>
      </c>
      <c r="C33" s="108" t="n">
        <v>-98285</v>
      </c>
      <c r="D33" s="108" t="n">
        <f aca="false">+C33-B33</f>
        <v>610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9"/>
      <c r="W34" s="59"/>
      <c r="X34" s="59"/>
      <c r="Y34" s="59"/>
      <c r="Z34" s="233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9"/>
      <c r="W35" s="59"/>
      <c r="X35" s="59"/>
      <c r="Y35" s="59"/>
      <c r="Z35" s="233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-1793341</v>
      </c>
      <c r="C36" s="108" t="n">
        <f aca="false">SUM(C5:C35)</f>
        <v>-1787501</v>
      </c>
      <c r="D36" s="108" t="n">
        <f aca="false">+C36-B36</f>
        <v>5840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9"/>
      <c r="W36" s="59"/>
      <c r="X36" s="59"/>
      <c r="Y36" s="59"/>
      <c r="Z36" s="233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5" t="n">
        <v>37103</v>
      </c>
      <c r="C38" s="108"/>
      <c r="D38" s="121" t="n">
        <v>34979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5" t="n">
        <v>37132</v>
      </c>
      <c r="C40" s="108"/>
      <c r="D40" s="276" t="n">
        <f aca="false">+D36+D38</f>
        <v>40819</v>
      </c>
      <c r="E40" s="277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0"/>
      <c r="R40" s="59"/>
      <c r="S40" s="108"/>
      <c r="T40" s="108"/>
      <c r="U40" s="250"/>
      <c r="V40" s="59"/>
      <c r="W40" s="59"/>
      <c r="X40" s="59"/>
      <c r="Y40" s="59"/>
      <c r="Z40" s="59"/>
      <c r="AA40" s="108"/>
      <c r="AB40" s="108"/>
      <c r="AC40" s="250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78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37103</v>
      </c>
      <c r="B45" s="9"/>
      <c r="C45" s="9"/>
      <c r="D45" s="125" t="n">
        <v>-287550.35</v>
      </c>
    </row>
    <row r="46" customFormat="false" ht="12.75" hidden="false" customHeight="false" outlineLevel="0" collapsed="false">
      <c r="A46" s="124" t="n">
        <f aca="false">+B40</f>
        <v>37132</v>
      </c>
      <c r="B46" s="9"/>
      <c r="C46" s="9"/>
      <c r="D46" s="126" t="n">
        <f aca="false">+D36*'by type'!J4</f>
        <v>16176.8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-271373.55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164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56339</v>
      </c>
      <c r="B5" s="280" t="n">
        <v>973435</v>
      </c>
      <c r="C5" s="280" t="n">
        <v>1004635</v>
      </c>
      <c r="D5" s="280" t="n">
        <f aca="false">+C5-B5</f>
        <v>31200</v>
      </c>
      <c r="E5" s="27"/>
      <c r="F5" s="285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923267</v>
      </c>
      <c r="C7" s="280" t="n">
        <v>906599</v>
      </c>
      <c r="D7" s="280" t="n">
        <f aca="false">+C7-B7</f>
        <v>-16668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7" t="n">
        <v>1262377</v>
      </c>
      <c r="C8" s="280" t="n">
        <v>1332076</v>
      </c>
      <c r="D8" s="280" t="n">
        <f aca="false">+C8-B8</f>
        <v>69699</v>
      </c>
      <c r="E8" s="27"/>
      <c r="F8" s="285"/>
    </row>
    <row r="9" customFormat="false" ht="12.75" hidden="false" customHeight="false" outlineLevel="0" collapsed="false">
      <c r="A9" s="282" t="n">
        <v>500293</v>
      </c>
      <c r="B9" s="280" t="n">
        <v>422063</v>
      </c>
      <c r="C9" s="280" t="n">
        <v>587681</v>
      </c>
      <c r="D9" s="280" t="n">
        <f aca="false">+C9-B9</f>
        <v>165618</v>
      </c>
      <c r="E9" s="27"/>
      <c r="F9" s="285"/>
    </row>
    <row r="10" customFormat="false" ht="12.75" hidden="false" customHeight="false" outlineLevel="0" collapsed="false">
      <c r="A10" s="282" t="n">
        <v>500302</v>
      </c>
      <c r="B10" s="287"/>
      <c r="C10" s="287" t="n">
        <v>10904</v>
      </c>
      <c r="D10" s="280" t="n">
        <f aca="false">+C10-B10</f>
        <v>10904</v>
      </c>
      <c r="E10" s="27"/>
      <c r="F10" s="285"/>
    </row>
    <row r="11" customFormat="false" ht="12.75" hidden="false" customHeight="false" outlineLevel="0" collapsed="false">
      <c r="A11" s="282" t="n">
        <v>500303</v>
      </c>
      <c r="B11" s="287" t="n">
        <v>252696</v>
      </c>
      <c r="C11" s="280" t="n">
        <v>323422</v>
      </c>
      <c r="D11" s="280" t="n">
        <f aca="false">+C11-B11</f>
        <v>70726</v>
      </c>
      <c r="E11" s="27"/>
      <c r="F11" s="285"/>
    </row>
    <row r="12" customFormat="false" ht="12.75" hidden="false" customHeight="false" outlineLevel="0" collapsed="false">
      <c r="A12" s="288" t="n">
        <v>500305</v>
      </c>
      <c r="B12" s="287" t="n">
        <v>989030</v>
      </c>
      <c r="C12" s="280" t="n">
        <v>1287187</v>
      </c>
      <c r="D12" s="280" t="n">
        <f aca="false">+C12-B12</f>
        <v>298157</v>
      </c>
      <c r="E12" s="289"/>
      <c r="F12" s="285"/>
    </row>
    <row r="13" customFormat="false" ht="12.75" hidden="false" customHeight="false" outlineLevel="0" collapsed="false">
      <c r="A13" s="282" t="n">
        <v>500307</v>
      </c>
      <c r="B13" s="287" t="n">
        <v>99582</v>
      </c>
      <c r="C13" s="280" t="n">
        <v>109212</v>
      </c>
      <c r="D13" s="280" t="n">
        <f aca="false">+C13-B13</f>
        <v>9630</v>
      </c>
      <c r="E13" s="27"/>
      <c r="F13" s="285"/>
    </row>
    <row r="14" customFormat="false" ht="12.75" hidden="false" customHeight="false" outlineLevel="0" collapsed="false">
      <c r="A14" s="282" t="n">
        <v>500313</v>
      </c>
      <c r="B14" s="280"/>
      <c r="C14" s="287" t="n">
        <v>3041</v>
      </c>
      <c r="D14" s="280" t="n">
        <f aca="false">+C14-B14</f>
        <v>3041</v>
      </c>
      <c r="E14" s="27"/>
      <c r="F14" s="285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7"/>
      <c r="F15" s="285"/>
    </row>
    <row r="16" customFormat="false" ht="12.75" hidden="false" customHeight="false" outlineLevel="0" collapsed="false">
      <c r="A16" s="282" t="n">
        <v>500655</v>
      </c>
      <c r="B16" s="290" t="n">
        <v>643386</v>
      </c>
      <c r="C16" s="280"/>
      <c r="D16" s="280" t="n">
        <f aca="false">+C16-B16</f>
        <v>-643386</v>
      </c>
      <c r="E16" s="27"/>
      <c r="F16" s="285"/>
    </row>
    <row r="17" customFormat="false" ht="12.75" hidden="false" customHeight="false" outlineLevel="0" collapsed="false">
      <c r="A17" s="282" t="n">
        <v>500657</v>
      </c>
      <c r="B17" s="287" t="n">
        <v>142754</v>
      </c>
      <c r="C17" s="280" t="n">
        <v>159449</v>
      </c>
      <c r="D17" s="291" t="n">
        <f aca="false">+C17-B17</f>
        <v>16695</v>
      </c>
      <c r="E17" s="27"/>
      <c r="F17" s="285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15616</v>
      </c>
      <c r="E18" s="27"/>
      <c r="F18" s="285"/>
    </row>
    <row r="19" customFormat="false" ht="12.75" hidden="false" customHeight="false" outlineLevel="0" collapsed="false">
      <c r="A19" s="282" t="s">
        <v>167</v>
      </c>
      <c r="B19" s="280"/>
      <c r="C19" s="280"/>
      <c r="D19" s="292" t="n">
        <f aca="false">+summary!H4</f>
        <v>2.77</v>
      </c>
      <c r="E19" s="293"/>
      <c r="F19" s="285"/>
    </row>
    <row r="20" customFormat="false" ht="12.75" hidden="false" customHeight="false" outlineLevel="0" collapsed="false">
      <c r="A20" s="282"/>
      <c r="B20" s="280"/>
      <c r="C20" s="280"/>
      <c r="D20" s="294" t="n">
        <f aca="false">+D19*D18</f>
        <v>43256.32</v>
      </c>
      <c r="E20" s="111"/>
      <c r="F20" s="295"/>
    </row>
    <row r="21" customFormat="false" ht="12.75" hidden="false" customHeight="false" outlineLevel="0" collapsed="false">
      <c r="A21" s="282"/>
      <c r="B21" s="280"/>
      <c r="C21" s="280"/>
      <c r="D21" s="294"/>
      <c r="E21" s="111"/>
      <c r="F21" s="295"/>
    </row>
    <row r="22" customFormat="false" ht="12.75" hidden="false" customHeight="false" outlineLevel="0" collapsed="false">
      <c r="A22" s="296" t="n">
        <v>37103</v>
      </c>
      <c r="B22" s="280"/>
      <c r="C22" s="280"/>
      <c r="D22" s="297" t="n">
        <v>-131785.95</v>
      </c>
      <c r="E22" s="111"/>
      <c r="F22" s="298"/>
    </row>
    <row r="23" customFormat="false" ht="12.75" hidden="false" customHeight="false" outlineLevel="0" collapsed="false">
      <c r="A23" s="282"/>
      <c r="B23" s="280"/>
      <c r="C23" s="280"/>
      <c r="D23" s="294"/>
      <c r="E23" s="111"/>
      <c r="F23" s="298"/>
    </row>
    <row r="24" customFormat="false" ht="13.5" hidden="false" customHeight="false" outlineLevel="0" collapsed="false">
      <c r="A24" s="296" t="n">
        <v>37132</v>
      </c>
      <c r="B24" s="280"/>
      <c r="C24" s="280"/>
      <c r="D24" s="299" t="n">
        <f aca="false">+D22+D20</f>
        <v>-88529.63</v>
      </c>
      <c r="E24" s="111"/>
      <c r="F24" s="298"/>
    </row>
    <row r="25" customFormat="false" ht="13.5" hidden="false" customHeight="false" outlineLevel="0" collapsed="false">
      <c r="E25" s="300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37103</v>
      </c>
      <c r="B29" s="9"/>
      <c r="C29" s="9"/>
      <c r="D29" s="301" t="n">
        <v>-81746</v>
      </c>
    </row>
    <row r="30" customFormat="false" ht="12.75" hidden="false" customHeight="false" outlineLevel="0" collapsed="false">
      <c r="A30" s="124" t="n">
        <f aca="false">+A24</f>
        <v>37132</v>
      </c>
      <c r="B30" s="9"/>
      <c r="C30" s="9"/>
      <c r="D30" s="37" t="n">
        <f aca="false">+D18</f>
        <v>15616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-66130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2"/>
      <c r="E48" s="302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5"/>
      <c r="G50" s="9"/>
    </row>
    <row r="51" customFormat="false" ht="12.75" hidden="false" customHeight="false" outlineLevel="0" collapsed="false">
      <c r="E51" s="3"/>
      <c r="F51" s="298"/>
    </row>
    <row r="52" customFormat="false" ht="12.75" hidden="false" customHeight="false" outlineLevel="0" collapsed="false">
      <c r="A52" s="9"/>
      <c r="D52" s="303"/>
      <c r="E52" s="30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3.5" hidden="false" customHeight="false" outlineLevel="0" collapsed="false">
      <c r="A55" s="9"/>
      <c r="D55" s="304"/>
      <c r="E55" s="304"/>
      <c r="F55" s="29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2"/>
      <c r="E98" s="302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B100" s="27"/>
      <c r="C100" s="27"/>
      <c r="D100" s="27"/>
      <c r="E100" s="27"/>
      <c r="F100" s="295"/>
    </row>
    <row r="101" customFormat="false" ht="12.75" hidden="false" customHeight="false" outlineLevel="0" collapsed="false">
      <c r="A101" s="9"/>
      <c r="D101" s="303"/>
      <c r="E101" s="303"/>
      <c r="F101" s="298"/>
    </row>
    <row r="102" customFormat="false" ht="12.75" hidden="false" customHeight="false" outlineLevel="0" collapsed="false">
      <c r="A102" s="9"/>
      <c r="E102" s="3"/>
      <c r="F102" s="298"/>
    </row>
    <row r="103" customFormat="false" ht="13.5" hidden="false" customHeight="false" outlineLevel="0" collapsed="false">
      <c r="A103" s="9"/>
      <c r="D103" s="304"/>
      <c r="E103" s="304"/>
      <c r="F103" s="29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2"/>
      <c r="E124" s="302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B126" s="27"/>
      <c r="C126" s="27"/>
      <c r="D126" s="111"/>
      <c r="E126" s="111"/>
      <c r="F126" s="295"/>
    </row>
    <row r="127" customFormat="false" ht="12.75" hidden="false" customHeight="false" outlineLevel="0" collapsed="false">
      <c r="A127" s="9"/>
      <c r="D127" s="305"/>
      <c r="E127" s="305"/>
      <c r="F127" s="298"/>
    </row>
    <row r="128" customFormat="false" ht="12.75" hidden="false" customHeight="false" outlineLevel="0" collapsed="false">
      <c r="A128" s="9"/>
      <c r="D128" s="111"/>
      <c r="E128" s="111"/>
      <c r="F128" s="298"/>
    </row>
    <row r="129" customFormat="false" ht="13.5" hidden="false" customHeight="false" outlineLevel="0" collapsed="false">
      <c r="A129" s="9"/>
      <c r="D129" s="306"/>
      <c r="E129" s="306"/>
      <c r="F129" s="29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2"/>
      <c r="E149" s="302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B151" s="27"/>
      <c r="C151" s="27"/>
      <c r="D151" s="111"/>
      <c r="E151" s="111"/>
      <c r="F151" s="295"/>
    </row>
    <row r="152" customFormat="false" ht="12.75" hidden="false" customHeight="false" outlineLevel="0" collapsed="false">
      <c r="A152" s="9"/>
      <c r="D152" s="305"/>
      <c r="E152" s="305"/>
      <c r="F152" s="298"/>
    </row>
    <row r="153" customFormat="false" ht="12.75" hidden="false" customHeight="false" outlineLevel="0" collapsed="false">
      <c r="A153" s="9"/>
      <c r="D153" s="111"/>
      <c r="E153" s="111"/>
      <c r="F153" s="298"/>
    </row>
    <row r="154" customFormat="false" ht="13.5" hidden="false" customHeight="false" outlineLevel="0" collapsed="false">
      <c r="A154" s="9"/>
      <c r="D154" s="306"/>
      <c r="E154" s="306"/>
      <c r="F154" s="29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0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0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27"/>
      <c r="E171" s="27"/>
      <c r="F171" s="31"/>
    </row>
    <row r="172" customFormat="false" ht="12.75" hidden="false" customHeight="false" outlineLevel="0" collapsed="false">
      <c r="B172" s="307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2"/>
      <c r="E174" s="302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B176" s="27"/>
      <c r="C176" s="27"/>
      <c r="D176" s="111"/>
      <c r="E176" s="111"/>
      <c r="F176" s="295"/>
    </row>
    <row r="177" customFormat="false" ht="12.75" hidden="false" customHeight="false" outlineLevel="0" collapsed="false">
      <c r="A177" s="9"/>
      <c r="D177" s="305"/>
      <c r="E177" s="305"/>
      <c r="F177" s="298"/>
    </row>
    <row r="178" customFormat="false" ht="12.75" hidden="false" customHeight="false" outlineLevel="0" collapsed="false">
      <c r="A178" s="9"/>
      <c r="D178" s="111"/>
      <c r="E178" s="111"/>
      <c r="F178" s="298"/>
    </row>
    <row r="179" customFormat="false" ht="13.5" hidden="false" customHeight="false" outlineLevel="0" collapsed="false">
      <c r="A179" s="9"/>
      <c r="D179" s="306"/>
      <c r="E179" s="306"/>
      <c r="F179" s="29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07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0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08"/>
      <c r="B191" s="309"/>
      <c r="C191" s="309"/>
      <c r="D191" s="309"/>
      <c r="E191" s="309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27"/>
      <c r="E195" s="27"/>
      <c r="F195" s="31"/>
    </row>
    <row r="196" customFormat="false" ht="12.75" hidden="false" customHeight="false" outlineLevel="0" collapsed="false">
      <c r="B196" s="307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2"/>
      <c r="E198" s="302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B200" s="27"/>
      <c r="C200" s="27"/>
      <c r="D200" s="111"/>
      <c r="E200" s="111"/>
      <c r="F200" s="295"/>
    </row>
    <row r="201" customFormat="false" ht="12.75" hidden="false" customHeight="false" outlineLevel="0" collapsed="false">
      <c r="A201" s="9"/>
      <c r="D201" s="305"/>
      <c r="E201" s="305"/>
      <c r="F201" s="298"/>
    </row>
    <row r="202" customFormat="false" ht="12.75" hidden="false" customHeight="false" outlineLevel="0" collapsed="false">
      <c r="A202" s="9"/>
      <c r="D202" s="111"/>
      <c r="E202" s="111"/>
      <c r="F202" s="298"/>
    </row>
    <row r="203" customFormat="false" ht="13.5" hidden="false" customHeight="false" outlineLevel="0" collapsed="false">
      <c r="A203" s="9"/>
      <c r="D203" s="310"/>
      <c r="E203" s="306"/>
      <c r="F203" s="29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7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0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08"/>
      <c r="B217" s="309"/>
      <c r="C217" s="309"/>
      <c r="D217" s="309"/>
      <c r="E217" s="309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27"/>
      <c r="E221" s="27"/>
      <c r="F221" s="31"/>
    </row>
    <row r="222" customFormat="false" ht="12.75" hidden="false" customHeight="false" outlineLevel="0" collapsed="false">
      <c r="B222" s="307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2"/>
      <c r="E224" s="302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B226" s="27"/>
      <c r="C226" s="27"/>
      <c r="D226" s="111"/>
      <c r="E226" s="111"/>
      <c r="F226" s="295"/>
    </row>
    <row r="227" customFormat="false" ht="12.75" hidden="false" customHeight="false" outlineLevel="0" collapsed="false">
      <c r="A227" s="9"/>
      <c r="D227" s="305"/>
      <c r="E227" s="305"/>
      <c r="F227" s="298"/>
    </row>
    <row r="228" customFormat="false" ht="12.75" hidden="false" customHeight="false" outlineLevel="0" collapsed="false">
      <c r="A228" s="9"/>
      <c r="D228" s="111"/>
      <c r="E228" s="111"/>
      <c r="F228" s="298"/>
    </row>
    <row r="229" customFormat="false" ht="13.5" hidden="false" customHeight="false" outlineLevel="0" collapsed="false">
      <c r="A229" s="9"/>
      <c r="D229" s="310"/>
      <c r="E229" s="306"/>
      <c r="F229" s="29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7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0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1"/>
      <c r="B241" s="289"/>
      <c r="C241" s="289"/>
      <c r="D241" s="289"/>
      <c r="E241" s="289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27"/>
      <c r="E245" s="27"/>
      <c r="F245" s="31"/>
    </row>
    <row r="246" customFormat="false" ht="12.75" hidden="false" customHeight="false" outlineLevel="0" collapsed="false">
      <c r="B246" s="307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2"/>
      <c r="E248" s="302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B250" s="27"/>
      <c r="C250" s="27"/>
      <c r="D250" s="111"/>
      <c r="E250" s="111"/>
      <c r="F250" s="295"/>
    </row>
    <row r="251" customFormat="false" ht="12.75" hidden="false" customHeight="false" outlineLevel="0" collapsed="false">
      <c r="A251" s="9"/>
      <c r="D251" s="305"/>
      <c r="E251" s="305"/>
      <c r="F251" s="298"/>
    </row>
    <row r="252" customFormat="false" ht="12.75" hidden="false" customHeight="false" outlineLevel="0" collapsed="false">
      <c r="A252" s="9"/>
      <c r="D252" s="111"/>
      <c r="E252" s="111"/>
      <c r="F252" s="298"/>
    </row>
    <row r="253" customFormat="false" ht="13.5" hidden="false" customHeight="false" outlineLevel="0" collapsed="false">
      <c r="A253" s="9"/>
      <c r="D253" s="312"/>
      <c r="E253" s="306"/>
      <c r="F253" s="29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3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280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313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280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280"/>
      <c r="C264" s="280"/>
      <c r="D264" s="280"/>
      <c r="E264" s="27"/>
      <c r="F264" s="31"/>
    </row>
    <row r="265" customFormat="false" ht="12.75" hidden="false" customHeight="false" outlineLevel="0" collapsed="false">
      <c r="A265" s="288"/>
      <c r="B265" s="314"/>
      <c r="C265" s="314"/>
      <c r="D265" s="314"/>
      <c r="E265" s="289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280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80"/>
      <c r="E269" s="27"/>
      <c r="F269" s="31"/>
    </row>
    <row r="270" customFormat="false" ht="12.75" hidden="false" customHeight="false" outlineLevel="0" collapsed="false">
      <c r="A270" s="282"/>
      <c r="B270" s="313"/>
      <c r="C270" s="280"/>
      <c r="D270" s="291"/>
      <c r="E270" s="47"/>
      <c r="F270" s="38"/>
    </row>
    <row r="271" customFormat="false" ht="12.75" hidden="false" customHeight="false" outlineLevel="0" collapsed="false">
      <c r="A271" s="282"/>
      <c r="B271" s="280"/>
      <c r="C271" s="280"/>
      <c r="D271" s="280"/>
      <c r="E271" s="27"/>
      <c r="F271" s="31"/>
    </row>
    <row r="272" customFormat="false" ht="12.75" hidden="false" customHeight="false" outlineLevel="0" collapsed="false">
      <c r="A272" s="282"/>
      <c r="B272" s="280"/>
      <c r="C272" s="280"/>
      <c r="D272" s="292"/>
      <c r="E272" s="302"/>
      <c r="F272" s="31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294"/>
      <c r="E274" s="111"/>
      <c r="F274" s="295"/>
    </row>
    <row r="275" customFormat="false" ht="12.75" hidden="false" customHeight="false" outlineLevel="0" collapsed="false">
      <c r="A275" s="282"/>
      <c r="B275" s="280"/>
      <c r="C275" s="280"/>
      <c r="D275" s="315"/>
      <c r="E275" s="305"/>
      <c r="F275" s="298"/>
    </row>
    <row r="276" customFormat="false" ht="12.75" hidden="false" customHeight="false" outlineLevel="0" collapsed="false">
      <c r="A276" s="282"/>
      <c r="B276" s="280"/>
      <c r="C276" s="280"/>
      <c r="D276" s="294"/>
      <c r="E276" s="111"/>
      <c r="F276" s="298"/>
    </row>
    <row r="277" customFormat="false" ht="13.5" hidden="false" customHeight="false" outlineLevel="0" collapsed="false">
      <c r="A277" s="282"/>
      <c r="B277" s="280"/>
      <c r="C277" s="280"/>
      <c r="D277" s="316"/>
      <c r="E277" s="306"/>
      <c r="F277" s="29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3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280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313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280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280"/>
      <c r="C289" s="280"/>
      <c r="D289" s="280"/>
      <c r="E289" s="27"/>
      <c r="F289" s="31"/>
    </row>
    <row r="290" customFormat="false" ht="12.75" hidden="false" customHeight="false" outlineLevel="0" collapsed="false">
      <c r="A290" s="288"/>
      <c r="B290" s="314"/>
      <c r="C290" s="314"/>
      <c r="D290" s="314"/>
      <c r="E290" s="289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280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80"/>
      <c r="E294" s="27"/>
      <c r="F294" s="31"/>
    </row>
    <row r="295" customFormat="false" ht="12.75" hidden="false" customHeight="false" outlineLevel="0" collapsed="false">
      <c r="A295" s="282"/>
      <c r="B295" s="313"/>
      <c r="C295" s="280"/>
      <c r="D295" s="291"/>
      <c r="E295" s="47"/>
      <c r="F295" s="38"/>
    </row>
    <row r="296" customFormat="false" ht="12.75" hidden="false" customHeight="false" outlineLevel="0" collapsed="false">
      <c r="A296" s="282"/>
      <c r="B296" s="280"/>
      <c r="C296" s="280"/>
      <c r="D296" s="280"/>
      <c r="E296" s="27"/>
      <c r="F296" s="31"/>
    </row>
    <row r="297" customFormat="false" ht="12.75" hidden="false" customHeight="false" outlineLevel="0" collapsed="false">
      <c r="A297" s="282"/>
      <c r="B297" s="280"/>
      <c r="C297" s="280"/>
      <c r="D297" s="292"/>
      <c r="E297" s="302"/>
      <c r="F297" s="31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82"/>
      <c r="B299" s="280"/>
      <c r="C299" s="280"/>
      <c r="D299" s="294"/>
      <c r="E299" s="111"/>
      <c r="F299" s="295"/>
    </row>
    <row r="300" customFormat="false" ht="12.75" hidden="false" customHeight="false" outlineLevel="0" collapsed="false">
      <c r="A300" s="296"/>
      <c r="B300" s="280"/>
      <c r="C300" s="280"/>
      <c r="D300" s="315"/>
      <c r="E300" s="305"/>
      <c r="F300" s="298"/>
    </row>
    <row r="301" customFormat="false" ht="12.75" hidden="false" customHeight="false" outlineLevel="0" collapsed="false">
      <c r="A301" s="282"/>
      <c r="B301" s="280"/>
      <c r="C301" s="280"/>
      <c r="D301" s="294"/>
      <c r="E301" s="111"/>
      <c r="F301" s="298"/>
    </row>
    <row r="302" customFormat="false" ht="13.5" hidden="false" customHeight="false" outlineLevel="0" collapsed="false">
      <c r="A302" s="282"/>
      <c r="B302" s="280"/>
      <c r="C302" s="280"/>
      <c r="D302" s="316"/>
      <c r="E302" s="306"/>
      <c r="F302" s="29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3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280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313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280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280"/>
      <c r="C316" s="280"/>
      <c r="D316" s="280"/>
      <c r="E316" s="27"/>
      <c r="F316" s="31"/>
    </row>
    <row r="317" customFormat="false" ht="12.75" hidden="false" customHeight="false" outlineLevel="0" collapsed="false">
      <c r="A317" s="288"/>
      <c r="B317" s="314"/>
      <c r="C317" s="314"/>
      <c r="D317" s="314"/>
      <c r="E317" s="289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280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80"/>
      <c r="E321" s="27"/>
      <c r="F321" s="31"/>
    </row>
    <row r="322" customFormat="false" ht="12.75" hidden="false" customHeight="false" outlineLevel="0" collapsed="false">
      <c r="A322" s="282"/>
      <c r="B322" s="313"/>
      <c r="C322" s="280"/>
      <c r="D322" s="291"/>
      <c r="E322" s="47"/>
      <c r="F322" s="38"/>
    </row>
    <row r="323" customFormat="false" ht="12.75" hidden="false" customHeight="false" outlineLevel="0" collapsed="false">
      <c r="A323" s="282"/>
      <c r="B323" s="280"/>
      <c r="C323" s="280"/>
      <c r="D323" s="280"/>
      <c r="E323" s="27"/>
      <c r="F323" s="31"/>
    </row>
    <row r="324" customFormat="false" ht="12.75" hidden="false" customHeight="false" outlineLevel="0" collapsed="false">
      <c r="A324" s="282"/>
      <c r="B324" s="280"/>
      <c r="C324" s="280"/>
      <c r="D324" s="292"/>
      <c r="E324" s="302"/>
      <c r="F324" s="31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82"/>
      <c r="B326" s="280"/>
      <c r="C326" s="280"/>
      <c r="D326" s="294"/>
      <c r="E326" s="111"/>
      <c r="F326" s="295"/>
    </row>
    <row r="327" customFormat="false" ht="12.75" hidden="false" customHeight="false" outlineLevel="0" collapsed="false">
      <c r="A327" s="296"/>
      <c r="B327" s="280"/>
      <c r="C327" s="280"/>
      <c r="D327" s="315"/>
      <c r="E327" s="305"/>
      <c r="F327" s="298"/>
    </row>
    <row r="328" customFormat="false" ht="12.75" hidden="false" customHeight="false" outlineLevel="0" collapsed="false">
      <c r="A328" s="282"/>
      <c r="B328" s="280"/>
      <c r="C328" s="280"/>
      <c r="D328" s="294"/>
      <c r="E328" s="111"/>
      <c r="F328" s="298"/>
    </row>
    <row r="329" customFormat="false" ht="13.5" hidden="false" customHeight="false" outlineLevel="0" collapsed="false">
      <c r="A329" s="282"/>
      <c r="B329" s="280"/>
      <c r="C329" s="280"/>
      <c r="D329" s="316"/>
      <c r="E329" s="306"/>
      <c r="F329" s="29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33" activeCellId="3" sqref="D34 E41 D45 C3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0"/>
      <c r="I2" s="102"/>
      <c r="J2" s="19"/>
      <c r="K2" s="19"/>
      <c r="L2" s="103"/>
      <c r="M2" s="104" t="s">
        <v>125</v>
      </c>
      <c r="N2" s="103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1"/>
      <c r="G3" s="120"/>
      <c r="H3" s="102" t="s">
        <v>117</v>
      </c>
      <c r="I3" s="100" t="s">
        <v>115</v>
      </c>
      <c r="J3" s="100" t="s">
        <v>116</v>
      </c>
      <c r="K3" s="109" t="s">
        <v>118</v>
      </c>
      <c r="L3" s="104" t="s">
        <v>119</v>
      </c>
      <c r="M3" s="103" t="s">
        <v>120</v>
      </c>
    </row>
    <row r="4" customFormat="false" ht="11.25" hidden="false" customHeight="false" outlineLevel="0" collapsed="false">
      <c r="A4" s="146" t="n">
        <v>1</v>
      </c>
      <c r="B4" s="108" t="n">
        <v>36395</v>
      </c>
      <c r="C4" s="108" t="n">
        <v>35310</v>
      </c>
      <c r="D4" s="108" t="n">
        <v>30665</v>
      </c>
      <c r="E4" s="108" t="n">
        <v>30355</v>
      </c>
      <c r="F4" s="120" t="n">
        <f aca="false">+E4+C4-D4-B4</f>
        <v>-1395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36109</v>
      </c>
      <c r="C5" s="108" t="n">
        <v>35970</v>
      </c>
      <c r="D5" s="108" t="n">
        <v>30760</v>
      </c>
      <c r="E5" s="108" t="n">
        <v>30926</v>
      </c>
      <c r="F5" s="120" t="n">
        <f aca="false">+E5+C5-D5-B5</f>
        <v>27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34935</v>
      </c>
      <c r="C6" s="108" t="n">
        <v>35968</v>
      </c>
      <c r="D6" s="108" t="n">
        <v>31613</v>
      </c>
      <c r="E6" s="108" t="n">
        <v>30922</v>
      </c>
      <c r="F6" s="120" t="n">
        <f aca="false">+E6+C6-D6-B6</f>
        <v>342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35129</v>
      </c>
      <c r="C7" s="108" t="n">
        <v>38500</v>
      </c>
      <c r="D7" s="108" t="n">
        <v>32705</v>
      </c>
      <c r="E7" s="108" t="n">
        <v>33450</v>
      </c>
      <c r="F7" s="120" t="n">
        <f aca="false">+E7+C7-D7-B7</f>
        <v>4116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36992</v>
      </c>
      <c r="C8" s="108" t="n">
        <v>38491</v>
      </c>
      <c r="D8" s="108" t="n">
        <v>29785</v>
      </c>
      <c r="E8" s="108" t="n">
        <v>33441</v>
      </c>
      <c r="F8" s="120" t="n">
        <f aca="false">+E8+C8-D8-B8</f>
        <v>5155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 t="n">
        <v>37536</v>
      </c>
      <c r="C9" s="108" t="n">
        <v>31999</v>
      </c>
      <c r="D9" s="108" t="n">
        <v>30106</v>
      </c>
      <c r="E9" s="108" t="n">
        <v>29000</v>
      </c>
      <c r="F9" s="120" t="n">
        <f aca="false">+E9+C9-D9-B9</f>
        <v>-6643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 t="n">
        <v>30804</v>
      </c>
      <c r="C10" s="108" t="n">
        <v>36000</v>
      </c>
      <c r="D10" s="108" t="n">
        <v>34261</v>
      </c>
      <c r="E10" s="108" t="n">
        <v>30950</v>
      </c>
      <c r="F10" s="120" t="n">
        <f aca="false">+E10+C10-D10-B10</f>
        <v>1885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 t="n">
        <v>28957</v>
      </c>
      <c r="C11" s="108" t="n">
        <v>36000</v>
      </c>
      <c r="D11" s="108" t="n">
        <v>32502</v>
      </c>
      <c r="E11" s="108" t="n">
        <v>30950</v>
      </c>
      <c r="F11" s="120" t="n">
        <f aca="false">+E11+C11-D11-B11</f>
        <v>5491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 t="n">
        <v>33886</v>
      </c>
      <c r="C12" s="108" t="n">
        <v>35956</v>
      </c>
      <c r="D12" s="108" t="n">
        <v>29962</v>
      </c>
      <c r="E12" s="108" t="n">
        <v>30912</v>
      </c>
      <c r="F12" s="120" t="n">
        <f aca="false">+E12+C12-D12-B12</f>
        <v>3020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 t="n">
        <v>33528</v>
      </c>
      <c r="C13" s="108" t="n">
        <v>32935</v>
      </c>
      <c r="D13" s="108" t="n">
        <v>31738</v>
      </c>
      <c r="E13" s="108" t="n">
        <v>33878</v>
      </c>
      <c r="F13" s="120" t="n">
        <f aca="false">+E13+C13-D13-B13</f>
        <v>1547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 t="n">
        <v>33647</v>
      </c>
      <c r="C14" s="108" t="n">
        <v>35767</v>
      </c>
      <c r="D14" s="108" t="n">
        <v>29418</v>
      </c>
      <c r="E14" s="108" t="n">
        <v>30749</v>
      </c>
      <c r="F14" s="120" t="n">
        <f aca="false">+E14+C14-D14-B14</f>
        <v>3451</v>
      </c>
      <c r="G14" s="120"/>
    </row>
    <row r="15" customFormat="false" ht="11.25" hidden="false" customHeight="false" outlineLevel="0" collapsed="false">
      <c r="A15" s="146" t="n">
        <v>12</v>
      </c>
      <c r="B15" s="108" t="n">
        <v>33412</v>
      </c>
      <c r="C15" s="108" t="n">
        <v>30764</v>
      </c>
      <c r="D15" s="108" t="n">
        <v>30321</v>
      </c>
      <c r="E15" s="108" t="n">
        <v>30269</v>
      </c>
      <c r="F15" s="120" t="n">
        <f aca="false">+E15+C15-D15-B15</f>
        <v>-2700</v>
      </c>
      <c r="G15" s="120"/>
    </row>
    <row r="16" customFormat="false" ht="11.25" hidden="false" customHeight="false" outlineLevel="0" collapsed="false">
      <c r="A16" s="146" t="n">
        <v>13</v>
      </c>
      <c r="B16" s="108" t="n">
        <v>33711</v>
      </c>
      <c r="C16" s="108" t="n">
        <v>30302</v>
      </c>
      <c r="D16" s="108" t="n">
        <v>29868</v>
      </c>
      <c r="E16" s="108" t="n">
        <v>30731</v>
      </c>
      <c r="F16" s="120" t="n">
        <f aca="false">+E16+C16-D16-B16</f>
        <v>-2546</v>
      </c>
      <c r="G16" s="120"/>
    </row>
    <row r="17" customFormat="false" ht="11.25" hidden="false" customHeight="false" outlineLevel="0" collapsed="false">
      <c r="A17" s="146" t="n">
        <v>14</v>
      </c>
      <c r="B17" s="108" t="n">
        <v>34265</v>
      </c>
      <c r="C17" s="108" t="n">
        <v>30374</v>
      </c>
      <c r="D17" s="108" t="n">
        <v>30207</v>
      </c>
      <c r="E17" s="108" t="n">
        <v>30804</v>
      </c>
      <c r="F17" s="120" t="n">
        <f aca="false">+E17+C17-D17-B17</f>
        <v>-3294</v>
      </c>
      <c r="G17" s="120"/>
    </row>
    <row r="18" customFormat="false" ht="11.25" hidden="false" customHeight="false" outlineLevel="0" collapsed="false">
      <c r="A18" s="146" t="n">
        <v>15</v>
      </c>
      <c r="B18" s="108" t="n">
        <v>34973</v>
      </c>
      <c r="C18" s="108" t="n">
        <v>30417</v>
      </c>
      <c r="D18" s="108" t="n">
        <v>27096</v>
      </c>
      <c r="E18" s="108" t="n">
        <v>30847</v>
      </c>
      <c r="F18" s="120" t="n">
        <f aca="false">+E18+C18-D18-B18</f>
        <v>-805</v>
      </c>
      <c r="G18" s="120"/>
    </row>
    <row r="19" customFormat="false" ht="11.25" hidden="false" customHeight="false" outlineLevel="0" collapsed="false">
      <c r="A19" s="146" t="n">
        <v>16</v>
      </c>
      <c r="B19" s="108" t="n">
        <v>33442</v>
      </c>
      <c r="C19" s="108" t="n">
        <v>30517</v>
      </c>
      <c r="D19" s="108" t="n">
        <v>31103</v>
      </c>
      <c r="E19" s="108" t="n">
        <v>30950</v>
      </c>
      <c r="F19" s="120" t="n">
        <f aca="false">+E19+C19-D19-B19</f>
        <v>-3078</v>
      </c>
      <c r="G19" s="120"/>
    </row>
    <row r="20" customFormat="false" ht="11.25" hidden="false" customHeight="false" outlineLevel="0" collapsed="false">
      <c r="A20" s="146" t="n">
        <v>17</v>
      </c>
      <c r="B20" s="108" t="n">
        <v>33295</v>
      </c>
      <c r="C20" s="108" t="n">
        <v>30517</v>
      </c>
      <c r="D20" s="108" t="n">
        <v>28744</v>
      </c>
      <c r="E20" s="108" t="n">
        <v>30950</v>
      </c>
      <c r="F20" s="120" t="n">
        <f aca="false">+E20+C20-D20-B20</f>
        <v>-572</v>
      </c>
      <c r="G20" s="120"/>
    </row>
    <row r="21" customFormat="false" ht="11.25" hidden="false" customHeight="false" outlineLevel="0" collapsed="false">
      <c r="A21" s="146" t="n">
        <v>18</v>
      </c>
      <c r="B21" s="108" t="n">
        <v>37922</v>
      </c>
      <c r="C21" s="108" t="n">
        <v>30402</v>
      </c>
      <c r="D21" s="108" t="n">
        <v>29031</v>
      </c>
      <c r="E21" s="108" t="n">
        <v>30834</v>
      </c>
      <c r="F21" s="120" t="n">
        <f aca="false">+E21+C21-D21-B21</f>
        <v>-5717</v>
      </c>
      <c r="G21" s="120"/>
    </row>
    <row r="22" customFormat="false" ht="11.25" hidden="false" customHeight="false" outlineLevel="0" collapsed="false">
      <c r="A22" s="146" t="n">
        <v>19</v>
      </c>
      <c r="B22" s="108" t="n">
        <v>37429</v>
      </c>
      <c r="C22" s="108" t="n">
        <v>30402</v>
      </c>
      <c r="D22" s="108" t="n">
        <v>29422</v>
      </c>
      <c r="E22" s="108" t="n">
        <v>30834</v>
      </c>
      <c r="F22" s="120" t="n">
        <f aca="false">+E22+C22-D22-B22</f>
        <v>-5615</v>
      </c>
      <c r="G22" s="120"/>
    </row>
    <row r="23" customFormat="false" ht="11.25" hidden="false" customHeight="false" outlineLevel="0" collapsed="false">
      <c r="A23" s="146" t="n">
        <v>20</v>
      </c>
      <c r="B23" s="108" t="n">
        <v>35688</v>
      </c>
      <c r="C23" s="108" t="n">
        <v>30402</v>
      </c>
      <c r="D23" s="108" t="n">
        <v>28474</v>
      </c>
      <c r="E23" s="108" t="n">
        <v>30834</v>
      </c>
      <c r="F23" s="120" t="n">
        <f aca="false">+E23+C23-D23-B23</f>
        <v>-2926</v>
      </c>
      <c r="G23" s="120"/>
    </row>
    <row r="24" customFormat="false" ht="11.25" hidden="false" customHeight="false" outlineLevel="0" collapsed="false">
      <c r="A24" s="146" t="n">
        <v>21</v>
      </c>
      <c r="B24" s="108" t="n">
        <v>36035</v>
      </c>
      <c r="C24" s="108" t="n">
        <v>30517</v>
      </c>
      <c r="D24" s="108" t="n">
        <v>27197</v>
      </c>
      <c r="E24" s="108" t="n">
        <v>30950</v>
      </c>
      <c r="F24" s="120" t="n">
        <f aca="false">+E24+C24-D24-B24</f>
        <v>-1765</v>
      </c>
      <c r="G24" s="120"/>
    </row>
    <row r="25" customFormat="false" ht="11.25" hidden="false" customHeight="false" outlineLevel="0" collapsed="false">
      <c r="A25" s="146" t="n">
        <v>22</v>
      </c>
      <c r="B25" s="108" t="n">
        <v>35506</v>
      </c>
      <c r="C25" s="108" t="n">
        <v>30517</v>
      </c>
      <c r="D25" s="108" t="n">
        <v>28224</v>
      </c>
      <c r="E25" s="108" t="n">
        <v>30949</v>
      </c>
      <c r="F25" s="120" t="n">
        <f aca="false">+E25+C25-D25-B25</f>
        <v>-2264</v>
      </c>
      <c r="G25" s="120"/>
    </row>
    <row r="26" customFormat="false" ht="11.25" hidden="false" customHeight="false" outlineLevel="0" collapsed="false">
      <c r="A26" s="146" t="n">
        <v>23</v>
      </c>
      <c r="B26" s="108" t="n">
        <v>36635</v>
      </c>
      <c r="C26" s="108" t="n">
        <v>30517</v>
      </c>
      <c r="D26" s="108" t="n">
        <v>27453</v>
      </c>
      <c r="E26" s="108" t="n">
        <v>30950</v>
      </c>
      <c r="F26" s="120" t="n">
        <f aca="false">+E26+C26-D26-B26</f>
        <v>-2621</v>
      </c>
    </row>
    <row r="27" customFormat="false" ht="11.25" hidden="false" customHeight="false" outlineLevel="0" collapsed="false">
      <c r="A27" s="146" t="n">
        <v>24</v>
      </c>
      <c r="B27" s="108" t="n">
        <v>36673</v>
      </c>
      <c r="C27" s="108" t="n">
        <v>30517</v>
      </c>
      <c r="D27" s="108" t="n">
        <v>30643</v>
      </c>
      <c r="E27" s="108" t="n">
        <v>30950</v>
      </c>
      <c r="F27" s="120" t="n">
        <f aca="false">+E27+C27-D27-B27</f>
        <v>-5849</v>
      </c>
    </row>
    <row r="28" customFormat="false" ht="11.25" hidden="false" customHeight="false" outlineLevel="0" collapsed="false">
      <c r="A28" s="146" t="n">
        <v>25</v>
      </c>
      <c r="B28" s="108" t="n">
        <v>33829</v>
      </c>
      <c r="C28" s="108" t="n">
        <v>30517</v>
      </c>
      <c r="D28" s="108" t="n">
        <v>27379</v>
      </c>
      <c r="E28" s="108" t="n">
        <v>30950</v>
      </c>
      <c r="F28" s="120" t="n">
        <f aca="false">+E28+C28-D28-B28</f>
        <v>259</v>
      </c>
    </row>
    <row r="29" customFormat="false" ht="11.25" hidden="false" customHeight="false" outlineLevel="0" collapsed="false">
      <c r="A29" s="146" t="n">
        <v>26</v>
      </c>
      <c r="B29" s="108" t="n">
        <v>35973</v>
      </c>
      <c r="C29" s="108" t="n">
        <v>30517</v>
      </c>
      <c r="D29" s="108" t="n">
        <v>29256</v>
      </c>
      <c r="E29" s="108" t="n">
        <v>30950</v>
      </c>
      <c r="F29" s="120" t="n">
        <f aca="false">+E29+C29-D29-B29</f>
        <v>-3762</v>
      </c>
    </row>
    <row r="30" customFormat="false" ht="11.25" hidden="false" customHeight="false" outlineLevel="0" collapsed="false">
      <c r="A30" s="146" t="n">
        <v>27</v>
      </c>
      <c r="B30" s="108" t="n">
        <v>30843</v>
      </c>
      <c r="C30" s="108" t="n">
        <v>27017</v>
      </c>
      <c r="D30" s="108" t="n">
        <v>31434</v>
      </c>
      <c r="E30" s="108" t="n">
        <v>34450</v>
      </c>
      <c r="F30" s="120" t="n">
        <f aca="false">+E30+C30-D30-B30</f>
        <v>-810</v>
      </c>
    </row>
    <row r="31" customFormat="false" ht="11.25" hidden="false" customHeight="false" outlineLevel="0" collapsed="false">
      <c r="A31" s="146" t="n">
        <v>28</v>
      </c>
      <c r="B31" s="108" t="n">
        <v>29884</v>
      </c>
      <c r="C31" s="108" t="n">
        <v>23517</v>
      </c>
      <c r="D31" s="108" t="n">
        <v>32955</v>
      </c>
      <c r="E31" s="108" t="n">
        <v>37950</v>
      </c>
      <c r="F31" s="120" t="n">
        <f aca="false">+E31+C31-D31-B31</f>
        <v>-1372</v>
      </c>
    </row>
    <row r="32" customFormat="false" ht="11.25" hidden="false" customHeight="false" outlineLevel="0" collapsed="false">
      <c r="A32" s="146" t="n">
        <v>29</v>
      </c>
      <c r="B32" s="108" t="n">
        <v>24149</v>
      </c>
      <c r="C32" s="108" t="n">
        <v>27300</v>
      </c>
      <c r="D32" s="108" t="n">
        <v>32189</v>
      </c>
      <c r="E32" s="108" t="n">
        <v>32000</v>
      </c>
      <c r="F32" s="120" t="n">
        <f aca="false">+E32+C32-D32-B32</f>
        <v>2962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991582</v>
      </c>
      <c r="C35" s="108" t="n">
        <f aca="false">SUM(C4:C34)</f>
        <v>927929</v>
      </c>
      <c r="D35" s="108" t="n">
        <f aca="false">SUM(D4:D34)</f>
        <v>874511</v>
      </c>
      <c r="E35" s="108" t="n">
        <f aca="false">SUM(E4:E34)</f>
        <v>912685</v>
      </c>
      <c r="F35" s="108" t="n">
        <f aca="false">+E35-D35+C35-B35</f>
        <v>-25479</v>
      </c>
    </row>
    <row r="36" customFormat="false" ht="11.25" hidden="false" customHeight="false" outlineLevel="0" collapsed="false">
      <c r="A36" s="149"/>
      <c r="C36" s="30" t="n">
        <f aca="false">+C35-B35</f>
        <v>-63653</v>
      </c>
      <c r="D36" s="30"/>
      <c r="E36" s="30" t="n">
        <f aca="false">+E35-D35</f>
        <v>38174</v>
      </c>
      <c r="F36" s="16"/>
    </row>
    <row r="37" customFormat="false" ht="11.25" hidden="false" customHeight="false" outlineLevel="0" collapsed="false">
      <c r="C37" s="79" t="n">
        <f aca="false">+summary!H4</f>
        <v>2.77</v>
      </c>
      <c r="D37" s="79"/>
      <c r="E37" s="79" t="n">
        <f aca="false">+C37</f>
        <v>2.77</v>
      </c>
      <c r="F37" s="108"/>
    </row>
    <row r="38" customFormat="false" ht="11.25" hidden="false" customHeight="false" outlineLevel="0" collapsed="false">
      <c r="C38" s="151" t="n">
        <f aca="false">+C37*C36</f>
        <v>-176318.81</v>
      </c>
      <c r="D38" s="16"/>
      <c r="E38" s="151" t="n">
        <f aca="false">+E37*E36</f>
        <v>105741.98</v>
      </c>
      <c r="F38" s="150" t="n">
        <f aca="false">+E38+C38</f>
        <v>-70576.83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37103</v>
      </c>
      <c r="C40" s="317" t="n">
        <v>612678.27</v>
      </c>
      <c r="D40" s="184"/>
      <c r="E40" s="317" t="n">
        <v>0</v>
      </c>
      <c r="F40" s="317" t="n">
        <f aca="false">+E40+C40</f>
        <v>612678.27</v>
      </c>
      <c r="G40" s="120"/>
    </row>
    <row r="41" customFormat="false" ht="11.25" hidden="false" customHeight="false" outlineLevel="0" collapsed="false">
      <c r="A41" s="152" t="n">
        <v>37132</v>
      </c>
      <c r="C41" s="184" t="n">
        <f aca="false">+C40+C38</f>
        <v>436359.46</v>
      </c>
      <c r="D41" s="184"/>
      <c r="E41" s="184" t="n">
        <f aca="false">+E40+E38</f>
        <v>105741.98</v>
      </c>
      <c r="F41" s="184" t="n">
        <f aca="false">+E41+C41</f>
        <v>542101.44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8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126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37103</v>
      </c>
      <c r="D46" s="301" t="n">
        <v>95131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37132</v>
      </c>
      <c r="D47" s="37" t="n">
        <f aca="false">+F35</f>
        <v>-25479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69652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19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68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9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4"/>
      <c r="E159" s="184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9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4"/>
      <c r="E204" s="184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4"/>
      <c r="M206" s="152"/>
      <c r="O206" s="153"/>
      <c r="P206" s="153"/>
      <c r="Q206" s="153"/>
      <c r="R206" s="184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4"/>
      <c r="M207" s="152"/>
      <c r="O207" s="153"/>
      <c r="P207" s="153"/>
      <c r="Q207" s="153"/>
      <c r="R207" s="184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4"/>
      <c r="M250" s="152"/>
      <c r="O250" s="153"/>
      <c r="P250" s="153"/>
      <c r="Q250" s="153"/>
      <c r="R250" s="184"/>
    </row>
    <row r="251" customFormat="false" ht="11.25" hidden="false" customHeight="false" outlineLevel="0" collapsed="false">
      <c r="L251" s="184"/>
      <c r="M251" s="152"/>
      <c r="O251" s="153"/>
      <c r="P251" s="153"/>
      <c r="Q251" s="153"/>
      <c r="R251" s="184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4"/>
    </row>
    <row r="293" customFormat="false" ht="11.25" hidden="false" customHeight="false" outlineLevel="0" collapsed="false">
      <c r="M293" s="152"/>
      <c r="O293" s="153"/>
      <c r="P293" s="153"/>
      <c r="Q293" s="153"/>
      <c r="R293" s="184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4"/>
      <c r="S334" s="152"/>
      <c r="U334" s="153"/>
      <c r="V334" s="153"/>
      <c r="W334" s="153"/>
      <c r="X334" s="184"/>
    </row>
    <row r="335" customFormat="false" ht="11.25" hidden="false" customHeight="false" outlineLevel="0" collapsed="false">
      <c r="M335" s="152"/>
      <c r="O335" s="153"/>
      <c r="P335" s="153"/>
      <c r="Q335" s="153"/>
      <c r="R335" s="184"/>
      <c r="S335" s="152"/>
      <c r="U335" s="153"/>
      <c r="V335" s="153"/>
      <c r="W335" s="153"/>
      <c r="X335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E33" activeCellId="3" sqref="C18 B41 G32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0"/>
      <c r="B1" s="157"/>
      <c r="I1" s="98"/>
      <c r="K1" s="98"/>
    </row>
    <row r="2" customFormat="false" ht="12.75" hidden="false" customHeight="false" outlineLevel="0" collapsed="false">
      <c r="B2" s="98" t="s">
        <v>170</v>
      </c>
      <c r="D2" s="98" t="s">
        <v>171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151</v>
      </c>
      <c r="AF3" s="106" t="s">
        <v>151</v>
      </c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24" t="s">
        <v>115</v>
      </c>
      <c r="E4" s="24" t="s">
        <v>116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142</v>
      </c>
      <c r="AE4" s="18" t="s">
        <v>119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199740</v>
      </c>
      <c r="C5" s="108" t="n">
        <v>206461</v>
      </c>
      <c r="D5" s="108"/>
      <c r="E5" s="108" t="n">
        <v>-6136</v>
      </c>
      <c r="F5" s="108" t="n">
        <f aca="false">+C5+E5-B5-D5</f>
        <v>585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124221</v>
      </c>
      <c r="C6" s="108" t="n">
        <v>140424</v>
      </c>
      <c r="D6" s="108"/>
      <c r="E6" s="108" t="n">
        <v>-16997</v>
      </c>
      <c r="F6" s="108" t="n">
        <f aca="false">+C6+E6-B6-D6</f>
        <v>-794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208560</v>
      </c>
      <c r="C7" s="108" t="n">
        <v>226875</v>
      </c>
      <c r="D7" s="108"/>
      <c r="E7" s="108" t="n">
        <v>-13759</v>
      </c>
      <c r="F7" s="108" t="n">
        <f aca="false">+C7+E7-B7-D7</f>
        <v>4556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174497</v>
      </c>
      <c r="C8" s="108" t="n">
        <v>201790</v>
      </c>
      <c r="D8" s="108"/>
      <c r="E8" s="108" t="n">
        <v>-27623</v>
      </c>
      <c r="F8" s="108" t="n">
        <f aca="false">+C8+E8-B8-D8</f>
        <v>-330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170484</v>
      </c>
      <c r="C9" s="108" t="n">
        <v>195304</v>
      </c>
      <c r="D9" s="108"/>
      <c r="E9" s="108" t="n">
        <v>-25217</v>
      </c>
      <c r="F9" s="108" t="n">
        <f aca="false">+C9+E9-B9-D9</f>
        <v>-397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 t="n">
        <v>171739</v>
      </c>
      <c r="C10" s="108" t="n">
        <v>196507</v>
      </c>
      <c r="D10" s="108"/>
      <c r="E10" s="108" t="n">
        <v>-26132</v>
      </c>
      <c r="F10" s="108" t="n">
        <f aca="false">+C10+E10-B10-D10</f>
        <v>-1364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 t="n">
        <v>181261</v>
      </c>
      <c r="C11" s="108" t="n">
        <v>192920</v>
      </c>
      <c r="D11" s="108"/>
      <c r="E11" s="108" t="n">
        <v>-9874</v>
      </c>
      <c r="F11" s="108" t="n">
        <f aca="false">+C11+E11-B11-D11</f>
        <v>1785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 t="n">
        <v>197070</v>
      </c>
      <c r="C12" s="108" t="n">
        <v>204844</v>
      </c>
      <c r="D12" s="108"/>
      <c r="E12" s="108" t="n">
        <v>-4417</v>
      </c>
      <c r="F12" s="108" t="n">
        <f aca="false">+C12+E12-B12-D12</f>
        <v>3357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 t="n">
        <v>193826</v>
      </c>
      <c r="C13" s="108" t="n">
        <v>201331</v>
      </c>
      <c r="D13" s="108"/>
      <c r="E13" s="108" t="n">
        <v>-8466</v>
      </c>
      <c r="F13" s="108" t="n">
        <f aca="false">+C13+E13-B13-D13</f>
        <v>-961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 t="n">
        <v>183951</v>
      </c>
      <c r="C14" s="108" t="n">
        <v>200529</v>
      </c>
      <c r="D14" s="108"/>
      <c r="E14" s="108" t="n">
        <v>-19807</v>
      </c>
      <c r="F14" s="108" t="n">
        <f aca="false">+C14+E14-B14-D14</f>
        <v>-3229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 t="n">
        <v>205187</v>
      </c>
      <c r="C15" s="108" t="n">
        <v>209202</v>
      </c>
      <c r="D15" s="108"/>
      <c r="E15" s="108" t="n">
        <v>-5480</v>
      </c>
      <c r="F15" s="108" t="n">
        <f aca="false">+C15+E15-B15-D15</f>
        <v>-1465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 t="n">
        <v>196282</v>
      </c>
      <c r="C16" s="108" t="n">
        <v>206942</v>
      </c>
      <c r="D16" s="108"/>
      <c r="E16" s="108" t="n">
        <v>-11937</v>
      </c>
      <c r="F16" s="108" t="n">
        <f aca="false">+C16+E16-B16-D16</f>
        <v>-1277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 t="n">
        <v>208969</v>
      </c>
      <c r="C17" s="108" t="n">
        <v>209066</v>
      </c>
      <c r="D17" s="108"/>
      <c r="E17" s="108" t="n">
        <v>-807</v>
      </c>
      <c r="F17" s="108" t="n">
        <f aca="false">+C17+E17-B17-D17</f>
        <v>-710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 t="n">
        <v>200915</v>
      </c>
      <c r="C18" s="108" t="n">
        <v>207816</v>
      </c>
      <c r="D18" s="108"/>
      <c r="E18" s="108" t="n">
        <v>-8506</v>
      </c>
      <c r="F18" s="108" t="n">
        <f aca="false">+C18+E18-B18-D18</f>
        <v>-1605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 t="n">
        <v>185028</v>
      </c>
      <c r="C19" s="108" t="n">
        <v>192042</v>
      </c>
      <c r="D19" s="108"/>
      <c r="E19" s="108" t="n">
        <v>-7418</v>
      </c>
      <c r="F19" s="108" t="n">
        <f aca="false">+C19+E19-B19-D19</f>
        <v>-404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 t="n">
        <v>205829</v>
      </c>
      <c r="C20" s="108" t="n">
        <v>210433</v>
      </c>
      <c r="D20" s="108"/>
      <c r="E20" s="108" t="n">
        <v>-5000</v>
      </c>
      <c r="F20" s="108" t="n">
        <f aca="false">+C20+E20-B20-D20</f>
        <v>-396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 t="n">
        <v>203994</v>
      </c>
      <c r="C21" s="108" t="n">
        <v>209294</v>
      </c>
      <c r="D21" s="108"/>
      <c r="E21" s="108" t="n">
        <v>-5929</v>
      </c>
      <c r="F21" s="108" t="n">
        <f aca="false">+C21+E21-B21-D21</f>
        <v>-629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 t="n">
        <v>230790</v>
      </c>
      <c r="C22" s="108" t="n">
        <v>250585</v>
      </c>
      <c r="D22" s="108"/>
      <c r="E22" s="108" t="n">
        <v>-6265</v>
      </c>
      <c r="F22" s="108" t="n">
        <f aca="false">+C22+E22-B22-D22</f>
        <v>13530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 t="n">
        <v>180146</v>
      </c>
      <c r="C23" s="108" t="n">
        <v>245466</v>
      </c>
      <c r="D23" s="108"/>
      <c r="E23" s="108" t="n">
        <v>-6387</v>
      </c>
      <c r="F23" s="108" t="n">
        <f aca="false">+C23+E23-B23-D23</f>
        <v>58933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 t="n">
        <v>216439</v>
      </c>
      <c r="C24" s="108" t="n">
        <v>221942</v>
      </c>
      <c r="D24" s="108"/>
      <c r="E24" s="108" t="n">
        <v>-6231</v>
      </c>
      <c r="F24" s="108" t="n">
        <f aca="false">+C24+E24-B24-D24</f>
        <v>-728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 t="n">
        <v>183412</v>
      </c>
      <c r="C25" s="108" t="n">
        <v>215195</v>
      </c>
      <c r="D25" s="108"/>
      <c r="E25" s="108" t="n">
        <v>-28318</v>
      </c>
      <c r="F25" s="108" t="n">
        <f aca="false">+C25+E25-B25-D25</f>
        <v>3465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 t="n">
        <v>167828</v>
      </c>
      <c r="C26" s="108" t="n">
        <v>203102</v>
      </c>
      <c r="D26" s="108"/>
      <c r="E26" s="108" t="n">
        <v>-36302</v>
      </c>
      <c r="F26" s="108" t="n">
        <f aca="false">+C26+E26-B26-D26</f>
        <v>-1028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 t="n">
        <v>178676</v>
      </c>
      <c r="C27" s="108" t="n">
        <v>190275</v>
      </c>
      <c r="D27" s="108"/>
      <c r="E27" s="108" t="n">
        <v>-10586</v>
      </c>
      <c r="F27" s="108" t="n">
        <f aca="false">+C27+E27-B27-D27</f>
        <v>1013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 t="n">
        <v>175424</v>
      </c>
      <c r="C28" s="108" t="n">
        <v>196078</v>
      </c>
      <c r="D28" s="108"/>
      <c r="E28" s="108" t="n">
        <v>-20083</v>
      </c>
      <c r="F28" s="108" t="n">
        <f aca="false">+C28+E28-B28-D28</f>
        <v>571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 t="n">
        <v>183300</v>
      </c>
      <c r="C29" s="108" t="n">
        <v>180188</v>
      </c>
      <c r="D29" s="108"/>
      <c r="E29" s="108"/>
      <c r="F29" s="108" t="n">
        <f aca="false">+C29+E29-B29-D29</f>
        <v>-3112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 t="n">
        <v>186775</v>
      </c>
      <c r="C30" s="108" t="n">
        <v>185860</v>
      </c>
      <c r="D30" s="108"/>
      <c r="E30" s="108"/>
      <c r="F30" s="108" t="n">
        <f aca="false">+C30+E30-B30-D30</f>
        <v>-915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 t="n">
        <v>198508</v>
      </c>
      <c r="C31" s="108" t="n">
        <v>203148</v>
      </c>
      <c r="D31" s="108"/>
      <c r="E31" s="108" t="n">
        <v>-5993</v>
      </c>
      <c r="F31" s="108" t="n">
        <f aca="false">+C31+E31-B31-D31</f>
        <v>-1353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 t="n">
        <v>169854</v>
      </c>
      <c r="C32" s="108" t="n">
        <v>187737</v>
      </c>
      <c r="D32" s="108"/>
      <c r="E32" s="108" t="n">
        <v>-18683</v>
      </c>
      <c r="F32" s="108" t="n">
        <f aca="false">+C32+E32-B32-D32</f>
        <v>-800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 t="n">
        <v>138713</v>
      </c>
      <c r="C33" s="108" t="n">
        <v>138195</v>
      </c>
      <c r="D33" s="108"/>
      <c r="E33" s="108"/>
      <c r="F33" s="108" t="n">
        <f aca="false">+C33+E33-B33-D33</f>
        <v>-518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5421418</v>
      </c>
      <c r="C36" s="108" t="n">
        <f aca="false">SUM(C5:C35)</f>
        <v>5829551</v>
      </c>
      <c r="D36" s="108" t="n">
        <f aca="false">SUM(D5:D35)</f>
        <v>0</v>
      </c>
      <c r="E36" s="108" t="n">
        <f aca="false">SUM(E5:E35)</f>
        <v>-342353</v>
      </c>
      <c r="F36" s="108" t="n">
        <f aca="false">SUM(F5:F35)</f>
        <v>65780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37103</v>
      </c>
      <c r="F39" s="320" t="n">
        <v>5110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37132</v>
      </c>
      <c r="F41" s="321" t="n">
        <f aca="false">+F39+F36</f>
        <v>70890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121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37103</v>
      </c>
      <c r="C47" s="9"/>
      <c r="D47" s="9"/>
      <c r="E47" s="125" t="n">
        <v>-487771.44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37132</v>
      </c>
      <c r="C48" s="9"/>
      <c r="D48" s="9"/>
      <c r="E48" s="126" t="n">
        <f aca="false">+F36*'by type'!J3</f>
        <v>171685.8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-316085.64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0"/>
      <c r="B84" s="160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0"/>
      <c r="B128" s="160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0"/>
      <c r="B170" s="160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0"/>
      <c r="B214" s="160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2"/>
    </row>
    <row r="258" customFormat="false" ht="12.75" hidden="false" customHeight="false" outlineLevel="0" collapsed="false">
      <c r="A258" s="160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0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4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0"/>
      <c r="B345" s="157"/>
      <c r="G345" s="160"/>
      <c r="H345" s="157"/>
      <c r="K345" s="155"/>
      <c r="M345" s="160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4"/>
      <c r="G383" s="134"/>
      <c r="H383" s="119"/>
      <c r="K383" s="155"/>
      <c r="L383" s="324"/>
      <c r="M383" s="134"/>
      <c r="N383" s="119"/>
      <c r="Q383" s="155"/>
      <c r="R383" s="324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3"/>
      <c r="G385" s="134"/>
      <c r="H385" s="5"/>
      <c r="K385" s="155"/>
      <c r="L385" s="323"/>
      <c r="M385" s="134"/>
      <c r="N385" s="5"/>
      <c r="Q385" s="155"/>
      <c r="R385" s="32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6" activeCellId="3" sqref="A44 D42 D42 C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87555</v>
      </c>
      <c r="C8" s="108" t="n">
        <v>87075</v>
      </c>
      <c r="D8" s="108" t="n">
        <f aca="false">+C8-B8</f>
        <v>-480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98252</v>
      </c>
      <c r="C9" s="108" t="n">
        <v>97649</v>
      </c>
      <c r="D9" s="108" t="n">
        <f aca="false">+C9-B9</f>
        <v>-603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78608</v>
      </c>
      <c r="C10" s="108" t="n">
        <v>77218</v>
      </c>
      <c r="D10" s="108" t="n">
        <f aca="false">+C10-B10</f>
        <v>-1390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101009</v>
      </c>
      <c r="C11" s="108" t="n">
        <v>100503</v>
      </c>
      <c r="D11" s="108" t="n">
        <f aca="false">+C11-B11</f>
        <v>-506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90729</v>
      </c>
      <c r="C12" s="108" t="n">
        <v>89600</v>
      </c>
      <c r="D12" s="108" t="n">
        <f aca="false">+C12-B12</f>
        <v>-1129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 t="n">
        <v>91681</v>
      </c>
      <c r="C13" s="108" t="n">
        <v>90563</v>
      </c>
      <c r="D13" s="108" t="n">
        <f aca="false">+C13-B13</f>
        <v>-1118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 t="n">
        <v>105225</v>
      </c>
      <c r="C14" s="108" t="n">
        <v>103990</v>
      </c>
      <c r="D14" s="108" t="n">
        <f aca="false">+C14-B14</f>
        <v>-1235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 t="n">
        <v>109389</v>
      </c>
      <c r="C15" s="108" t="n">
        <v>107112</v>
      </c>
      <c r="D15" s="108" t="n">
        <f aca="false">+C15-B15</f>
        <v>-2277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 t="n">
        <v>96923</v>
      </c>
      <c r="C16" s="108" t="n">
        <v>96695</v>
      </c>
      <c r="D16" s="108" t="n">
        <f aca="false">+C16-B16</f>
        <v>-228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 t="n">
        <v>62710</v>
      </c>
      <c r="C17" s="108" t="n">
        <v>62247</v>
      </c>
      <c r="D17" s="108" t="n">
        <f aca="false">+C17-B17</f>
        <v>-463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 t="n">
        <v>98145</v>
      </c>
      <c r="C18" s="108" t="n">
        <v>100814</v>
      </c>
      <c r="D18" s="108" t="n">
        <f aca="false">+C18-B18</f>
        <v>2669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 t="n">
        <v>93439</v>
      </c>
      <c r="C19" s="108" t="n">
        <v>93039</v>
      </c>
      <c r="D19" s="108" t="n">
        <f aca="false">+C19-B19</f>
        <v>-400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 t="n">
        <v>102036</v>
      </c>
      <c r="C20" s="108" t="n">
        <v>101331</v>
      </c>
      <c r="D20" s="108" t="n">
        <f aca="false">+C20-B20</f>
        <v>-705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 t="n">
        <v>104231</v>
      </c>
      <c r="C21" s="108" t="n">
        <v>108641</v>
      </c>
      <c r="D21" s="108" t="n">
        <f aca="false">+C21-B21</f>
        <v>4410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 t="n">
        <v>108131</v>
      </c>
      <c r="C22" s="108" t="n">
        <v>109178</v>
      </c>
      <c r="D22" s="108" t="n">
        <f aca="false">+C22-B22</f>
        <v>1047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 t="n">
        <v>94371</v>
      </c>
      <c r="C23" s="108" t="n">
        <v>94262</v>
      </c>
      <c r="D23" s="108" t="n">
        <f aca="false">+C23-B23</f>
        <v>-109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 t="n">
        <v>91954</v>
      </c>
      <c r="C24" s="108" t="n">
        <v>91776</v>
      </c>
      <c r="D24" s="108" t="n">
        <f aca="false">+C24-B24</f>
        <v>-178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 t="n">
        <v>87470</v>
      </c>
      <c r="C25" s="108" t="n">
        <v>86776</v>
      </c>
      <c r="D25" s="108" t="n">
        <f aca="false">+C25-B25</f>
        <v>-694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 t="n">
        <v>83953</v>
      </c>
      <c r="C26" s="108" t="n">
        <v>86780</v>
      </c>
      <c r="D26" s="108" t="n">
        <f aca="false">+C26-B26</f>
        <v>2827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 t="n">
        <v>87096</v>
      </c>
      <c r="C27" s="108" t="n">
        <v>86776</v>
      </c>
      <c r="D27" s="108" t="n">
        <f aca="false">+C27-B27</f>
        <v>-320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 t="n">
        <v>97676</v>
      </c>
      <c r="C28" s="108" t="n">
        <v>96772</v>
      </c>
      <c r="D28" s="108" t="n">
        <f aca="false">+C28-B28</f>
        <v>-904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 t="n">
        <v>94387</v>
      </c>
      <c r="C29" s="108" t="n">
        <v>93565</v>
      </c>
      <c r="D29" s="108" t="n">
        <f aca="false">+C29-B29</f>
        <v>-822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 t="n">
        <v>97972</v>
      </c>
      <c r="C30" s="108" t="n">
        <v>98863</v>
      </c>
      <c r="D30" s="108" t="n">
        <f aca="false">+C30-B30</f>
        <v>891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 t="n">
        <v>94831</v>
      </c>
      <c r="C31" s="108" t="n">
        <v>94276</v>
      </c>
      <c r="D31" s="108" t="n">
        <f aca="false">+C31-B31</f>
        <v>-555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 t="n">
        <v>92197</v>
      </c>
      <c r="C32" s="108" t="n">
        <v>91637</v>
      </c>
      <c r="D32" s="108" t="n">
        <f aca="false">+C32-B32</f>
        <v>-560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 t="n">
        <v>90095</v>
      </c>
      <c r="C33" s="108" t="n">
        <v>91775</v>
      </c>
      <c r="D33" s="108" t="n">
        <f aca="false">+C33-B33</f>
        <v>1680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 t="n">
        <v>87986</v>
      </c>
      <c r="C34" s="108" t="n">
        <v>91776</v>
      </c>
      <c r="D34" s="108" t="n">
        <f aca="false">+C34-B34</f>
        <v>3790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 t="n">
        <v>87551</v>
      </c>
      <c r="C35" s="108" t="n">
        <v>86776</v>
      </c>
      <c r="D35" s="108" t="n">
        <f aca="false">+C35-B35</f>
        <v>-775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 t="n">
        <v>88628</v>
      </c>
      <c r="C36" s="108" t="n">
        <v>86776</v>
      </c>
      <c r="D36" s="108" t="n">
        <f aca="false">+C36-B36</f>
        <v>-1852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0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2704230</v>
      </c>
      <c r="C39" s="108" t="n">
        <f aca="false">SUM(C8:C38)</f>
        <v>2704241</v>
      </c>
      <c r="D39" s="108" t="n">
        <f aca="false">SUM(D8:D38)</f>
        <v>11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2.77</v>
      </c>
      <c r="E40" s="134"/>
      <c r="H40" s="111"/>
    </row>
    <row r="41" customFormat="false" ht="12.75" hidden="false" customHeight="false" outlineLevel="0" collapsed="false">
      <c r="D41" s="325" t="n">
        <f aca="false">+D40*D39</f>
        <v>30.47</v>
      </c>
      <c r="F41" s="2"/>
      <c r="H41" s="325"/>
    </row>
    <row r="42" customFormat="false" ht="12.75" hidden="false" customHeight="false" outlineLevel="0" collapsed="false">
      <c r="A42" s="152" t="n">
        <v>37103</v>
      </c>
      <c r="D42" s="326" t="n">
        <v>21602.9</v>
      </c>
      <c r="E42" s="152"/>
      <c r="H42" s="325"/>
    </row>
    <row r="43" customFormat="false" ht="12.75" hidden="false" customHeight="false" outlineLevel="0" collapsed="false">
      <c r="A43" s="152" t="n">
        <v>37132</v>
      </c>
      <c r="D43" s="327" t="n">
        <f aca="false">+D42+D41</f>
        <v>21633.37</v>
      </c>
      <c r="E43" s="152"/>
      <c r="H43" s="327"/>
    </row>
    <row r="44" customFormat="false" ht="12.75" hidden="false" customHeight="false" outlineLevel="0" collapsed="false">
      <c r="D44" s="328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1" t="n">
        <v>-43475</v>
      </c>
    </row>
    <row r="49" customFormat="false" ht="12.75" hidden="false" customHeight="false" outlineLevel="0" collapsed="false">
      <c r="A49" s="124" t="n">
        <f aca="false">+A43</f>
        <v>37132</v>
      </c>
      <c r="B49" s="9"/>
      <c r="C49" s="9"/>
      <c r="D49" s="37" t="n">
        <f aca="false">+D39</f>
        <v>11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-43464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B10" activeCellId="3" sqref="B13 B13 C5 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29" t="n">
        <v>37103</v>
      </c>
      <c r="C5" s="330" t="n">
        <v>1162786.04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37132</v>
      </c>
      <c r="J7" s="9"/>
    </row>
    <row r="8" customFormat="false" ht="12.75" hidden="false" customHeight="false" outlineLevel="0" collapsed="false">
      <c r="A8" s="78" t="n">
        <v>60874</v>
      </c>
      <c r="B8" s="331" t="n">
        <v>4889</v>
      </c>
      <c r="J8" s="9"/>
    </row>
    <row r="9" customFormat="false" ht="12.75" hidden="false" customHeight="false" outlineLevel="0" collapsed="false">
      <c r="A9" s="78" t="n">
        <v>78169</v>
      </c>
      <c r="B9" s="331" t="n">
        <f aca="false">214138-208767</f>
        <v>5371</v>
      </c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8" t="n">
        <v>500248</v>
      </c>
      <c r="B11" s="331" t="n">
        <f aca="false">3861-5448</f>
        <v>-1587</v>
      </c>
      <c r="J11" s="9"/>
    </row>
    <row r="12" customFormat="false" ht="12.75" hidden="false" customHeight="false" outlineLevel="0" collapsed="false">
      <c r="A12" s="78" t="n">
        <v>500251</v>
      </c>
      <c r="B12" s="332" t="n">
        <f aca="false">17400-15877</f>
        <v>1523</v>
      </c>
      <c r="J12" s="9"/>
    </row>
    <row r="13" customFormat="false" ht="12.75" hidden="false" customHeight="false" outlineLevel="0" collapsed="false">
      <c r="A13" s="78" t="n">
        <v>500254</v>
      </c>
      <c r="B13" s="332" t="n">
        <f aca="false">2610-3781</f>
        <v>-1171</v>
      </c>
      <c r="J13" s="9"/>
    </row>
    <row r="14" customFormat="false" ht="12.75" hidden="false" customHeight="false" outlineLevel="0" collapsed="false">
      <c r="A14" s="9" t="n">
        <v>500255</v>
      </c>
      <c r="B14" s="332" t="n">
        <f aca="false">15950-17211</f>
        <v>-1261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32" t="n">
        <f aca="false">11600-6207</f>
        <v>5393</v>
      </c>
      <c r="E15" s="9" t="n">
        <v>67.24</v>
      </c>
      <c r="J15" s="9"/>
    </row>
    <row r="16" customFormat="false" ht="12.75" hidden="false" customHeight="false" outlineLevel="0" collapsed="false">
      <c r="A16" s="333" t="n">
        <v>500267</v>
      </c>
      <c r="B16" s="334" t="n">
        <f aca="false">1717014-1684394</f>
        <v>32620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30" t="n">
        <f aca="false">SUM(B8:B16)</f>
        <v>45777</v>
      </c>
      <c r="J17" s="9"/>
    </row>
    <row r="18" customFormat="false" ht="12.75" hidden="false" customHeight="false" outlineLevel="0" collapsed="false">
      <c r="B18" s="79" t="n">
        <f aca="false">+B31</f>
        <v>2.77</v>
      </c>
      <c r="C18" s="335" t="n">
        <f aca="false">+B18*B17</f>
        <v>126802.29</v>
      </c>
      <c r="G18" s="9"/>
      <c r="H18" s="336"/>
      <c r="I18" s="30"/>
      <c r="J18" s="9"/>
    </row>
    <row r="19" customFormat="false" ht="12.75" hidden="false" customHeight="false" outlineLevel="0" collapsed="false">
      <c r="C19" s="337" t="n">
        <f aca="false">+C18+C5</f>
        <v>1289588.33</v>
      </c>
      <c r="E19" s="79"/>
      <c r="G19" s="9"/>
      <c r="H19" s="336"/>
      <c r="I19" s="30"/>
      <c r="J19" s="9"/>
    </row>
    <row r="20" customFormat="false" ht="12.75" hidden="false" customHeight="false" outlineLevel="0" collapsed="false">
      <c r="E20" s="79"/>
      <c r="G20" s="9"/>
      <c r="H20" s="336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36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36"/>
      <c r="I22" s="30"/>
      <c r="J22" s="9"/>
    </row>
    <row r="23" customFormat="false" ht="12.75" hidden="false" customHeight="false" outlineLevel="0" collapsed="false">
      <c r="G23" s="9"/>
      <c r="H23" s="336"/>
      <c r="I23" s="30"/>
      <c r="J23" s="9"/>
    </row>
    <row r="24" customFormat="false" ht="12.75" hidden="false" customHeight="false" outlineLevel="0" collapsed="false">
      <c r="G24" s="9"/>
      <c r="H24" s="336"/>
      <c r="I24" s="30"/>
      <c r="J24" s="9"/>
    </row>
    <row r="25" customFormat="false" ht="12.75" hidden="false" customHeight="false" outlineLevel="0" collapsed="false">
      <c r="A25" s="338" t="n">
        <v>37103</v>
      </c>
      <c r="C25" s="330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37132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01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01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2.77</v>
      </c>
      <c r="C31" s="335" t="n">
        <f aca="false">+B31*B30</f>
        <v>0</v>
      </c>
    </row>
    <row r="32" customFormat="false" ht="12.75" hidden="false" customHeight="false" outlineLevel="0" collapsed="false">
      <c r="C32" s="337" t="n">
        <f aca="false">+C31+C25</f>
        <v>275313.72</v>
      </c>
      <c r="E32" s="79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174</v>
      </c>
      <c r="E35" s="79"/>
    </row>
    <row r="36" customFormat="false" ht="12.75" hidden="false" customHeight="false" outlineLevel="0" collapsed="false">
      <c r="A36" s="9" t="s">
        <v>176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E37" s="124" t="n">
        <f aca="false">+A5</f>
        <v>37103</v>
      </c>
      <c r="F37" s="301" t="n">
        <v>223026</v>
      </c>
      <c r="G37" s="30" t="n">
        <v>117857</v>
      </c>
      <c r="H37" s="301" t="n">
        <v>138810</v>
      </c>
      <c r="I37" s="30"/>
    </row>
    <row r="38" customFormat="false" ht="12.75" hidden="false" customHeight="false" outlineLevel="0" collapsed="false">
      <c r="E38" s="124" t="n">
        <f aca="false">+A7</f>
        <v>37132</v>
      </c>
      <c r="F38" s="37" t="n">
        <f aca="false">+B17</f>
        <v>45777</v>
      </c>
      <c r="G38" s="37" t="n">
        <f aca="false">+B30</f>
        <v>0</v>
      </c>
      <c r="H38" s="37" t="n">
        <f aca="false">+B45</f>
        <v>9220</v>
      </c>
      <c r="I38" s="30"/>
    </row>
    <row r="39" customFormat="false" ht="12.75" hidden="false" customHeight="false" outlineLevel="0" collapsed="false">
      <c r="A39" s="124" t="n">
        <v>37103</v>
      </c>
      <c r="C39" s="330" t="n">
        <v>732710.21</v>
      </c>
      <c r="F39" s="30" t="n">
        <f aca="false">+F38+F37</f>
        <v>268803</v>
      </c>
      <c r="G39" s="30" t="n">
        <f aca="false">+G38+G37</f>
        <v>117857</v>
      </c>
      <c r="H39" s="30" t="n">
        <f aca="false">+H38+H37</f>
        <v>148030</v>
      </c>
      <c r="I39" s="30" t="n">
        <f aca="false">+H39+G39+F39</f>
        <v>534690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58" t="n">
        <v>37132</v>
      </c>
      <c r="G41" s="9"/>
    </row>
    <row r="42" customFormat="false" ht="12.75" hidden="false" customHeight="false" outlineLevel="0" collapsed="false">
      <c r="A42" s="78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01" t="n">
        <v>7459</v>
      </c>
      <c r="G43" s="9"/>
      <c r="H43" s="339"/>
      <c r="I43" s="30"/>
    </row>
    <row r="44" customFormat="false" ht="12.75" hidden="false" customHeight="false" outlineLevel="0" collapsed="false">
      <c r="A44" s="9" t="n">
        <v>500392</v>
      </c>
      <c r="B44" s="340" t="n">
        <v>1761</v>
      </c>
      <c r="G44" s="9"/>
      <c r="H44" s="339"/>
      <c r="I44" s="30"/>
    </row>
    <row r="45" customFormat="false" ht="12.75" hidden="false" customHeight="false" outlineLevel="0" collapsed="false">
      <c r="B45" s="30" t="n">
        <f aca="false">SUM(B42:B44)</f>
        <v>9220</v>
      </c>
      <c r="G45" s="9"/>
      <c r="H45" s="339"/>
      <c r="I45" s="30"/>
    </row>
    <row r="46" customFormat="false" ht="12.75" hidden="false" customHeight="false" outlineLevel="0" collapsed="false">
      <c r="B46" s="335" t="n">
        <f aca="false">+B31</f>
        <v>2.77</v>
      </c>
      <c r="C46" s="335" t="n">
        <f aca="false">+B46*B45</f>
        <v>25539.4</v>
      </c>
      <c r="H46" s="339"/>
      <c r="I46" s="30"/>
    </row>
    <row r="47" customFormat="false" ht="12.75" hidden="false" customHeight="false" outlineLevel="0" collapsed="false">
      <c r="C47" s="337" t="n">
        <f aca="false">+C46+C39</f>
        <v>758249.61</v>
      </c>
      <c r="E47" s="28"/>
      <c r="H47" s="339"/>
      <c r="I47" s="30"/>
    </row>
    <row r="48" customFormat="false" ht="12.75" hidden="false" customHeight="false" outlineLevel="0" collapsed="false">
      <c r="E48" s="341"/>
      <c r="H48" s="339"/>
      <c r="I48" s="30"/>
    </row>
    <row r="49" customFormat="false" ht="12.75" hidden="false" customHeight="false" outlineLevel="0" collapsed="false">
      <c r="E49" s="28"/>
      <c r="H49" s="339"/>
      <c r="I49" s="30"/>
    </row>
    <row r="50" customFormat="false" ht="12.75" hidden="false" customHeight="false" outlineLevel="0" collapsed="false">
      <c r="C50" s="342"/>
      <c r="E50" s="341"/>
    </row>
    <row r="51" customFormat="false" ht="12.75" hidden="false" customHeight="false" outlineLevel="0" collapsed="false">
      <c r="A51" s="9" t="s">
        <v>174</v>
      </c>
      <c r="C51" s="202"/>
    </row>
    <row r="52" customFormat="false" ht="12.75" hidden="false" customHeight="false" outlineLevel="0" collapsed="false">
      <c r="A52" s="9" t="n">
        <v>21665</v>
      </c>
      <c r="B52" s="79" t="s">
        <v>177</v>
      </c>
      <c r="C52" s="343" t="n">
        <v>73449.16</v>
      </c>
      <c r="D52" s="9" t="s">
        <v>178</v>
      </c>
      <c r="E52" s="153"/>
      <c r="H52" s="339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44" t="n">
        <v>23612.35</v>
      </c>
      <c r="D53" s="9" t="s">
        <v>179</v>
      </c>
      <c r="H53" s="339" t="n">
        <v>22664</v>
      </c>
      <c r="I53" s="30" t="n">
        <v>18932</v>
      </c>
    </row>
    <row r="54" customFormat="false" ht="12.75" hidden="false" customHeight="false" outlineLevel="0" collapsed="false">
      <c r="H54" s="345"/>
      <c r="I54" s="63"/>
    </row>
    <row r="55" customFormat="false" ht="12.75" hidden="false" customHeight="false" outlineLevel="0" collapsed="false">
      <c r="C55" s="346"/>
    </row>
    <row r="56" customFormat="false" ht="12.75" hidden="false" customHeight="false" outlineLevel="0" collapsed="false">
      <c r="C56" s="347" t="n">
        <f aca="false">+C53+C52+C47+C32+C19</f>
        <v>2420213.17</v>
      </c>
      <c r="I56" s="30" t="n">
        <f aca="false">SUM(I39:I53)</f>
        <v>590025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D57" activeCellId="3" sqref="A1 D58 E36 D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0"/>
      <c r="B1" s="348" t="n">
        <v>23995</v>
      </c>
      <c r="C1" s="349"/>
      <c r="D1" s="350" t="n">
        <v>22051</v>
      </c>
      <c r="F1" s="19"/>
      <c r="H1" s="173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180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17879</v>
      </c>
      <c r="E4" s="108" t="n">
        <v>24612</v>
      </c>
      <c r="F4" s="108" t="n">
        <f aca="false">+E4+C4-D4-B4</f>
        <v>6733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15280</v>
      </c>
      <c r="E5" s="108" t="n">
        <v>24612</v>
      </c>
      <c r="F5" s="108" t="n">
        <f aca="false">+E5+C5-D5-B5</f>
        <v>9332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22363</v>
      </c>
      <c r="E6" s="108" t="n">
        <v>24612</v>
      </c>
      <c r="F6" s="108" t="n">
        <f aca="false">+E6+C6-D6-B6</f>
        <v>2249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22522</v>
      </c>
      <c r="E7" s="108" t="n">
        <v>24612</v>
      </c>
      <c r="F7" s="108" t="n">
        <f aca="false">+E7+C7-D7-B7</f>
        <v>2090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25194</v>
      </c>
      <c r="E8" s="108" t="n">
        <v>24612</v>
      </c>
      <c r="F8" s="108" t="n">
        <f aca="false">+E8+C8-D8-B8</f>
        <v>-582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 t="n">
        <v>25342</v>
      </c>
      <c r="E9" s="108" t="n">
        <v>24612</v>
      </c>
      <c r="F9" s="108" t="n">
        <f aca="false">+E9+C9-D9-B9</f>
        <v>-730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 t="n">
        <v>25968</v>
      </c>
      <c r="E10" s="108" t="n">
        <v>24612</v>
      </c>
      <c r="F10" s="108" t="n">
        <f aca="false">+E10+C10-D10-B10</f>
        <v>-1356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 t="n">
        <v>11</v>
      </c>
      <c r="C11" s="108"/>
      <c r="D11" s="108" t="n">
        <v>24659</v>
      </c>
      <c r="E11" s="108" t="n">
        <v>24612</v>
      </c>
      <c r="F11" s="108" t="n">
        <f aca="false">+E11+C11-D11-B11</f>
        <v>-58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 t="n">
        <v>22</v>
      </c>
      <c r="C12" s="108"/>
      <c r="D12" s="108" t="n">
        <v>25935</v>
      </c>
      <c r="E12" s="108" t="n">
        <v>24612</v>
      </c>
      <c r="F12" s="108" t="n">
        <f aca="false">+E12+C12-D12-B12</f>
        <v>-1345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 t="n">
        <v>1</v>
      </c>
      <c r="C13" s="108"/>
      <c r="D13" s="108" t="n">
        <v>25439</v>
      </c>
      <c r="E13" s="108" t="n">
        <v>24612</v>
      </c>
      <c r="F13" s="108" t="n">
        <f aca="false">+E13+C13-D13-B13</f>
        <v>-828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 t="n">
        <v>25792</v>
      </c>
      <c r="E14" s="108" t="n">
        <v>24612</v>
      </c>
      <c r="F14" s="108" t="n">
        <f aca="false">+E14+C14-D14-B14</f>
        <v>-1180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 t="n">
        <v>25232</v>
      </c>
      <c r="E15" s="108" t="n">
        <v>24612</v>
      </c>
      <c r="F15" s="108" t="n">
        <f aca="false">+E15+C15-D15-B15</f>
        <v>-620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 t="n">
        <v>25273</v>
      </c>
      <c r="E16" s="108" t="n">
        <v>24612</v>
      </c>
      <c r="F16" s="108" t="n">
        <f aca="false">+E16+C16-D16-B16</f>
        <v>-661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 t="n">
        <v>25964</v>
      </c>
      <c r="E17" s="108" t="n">
        <v>24612</v>
      </c>
      <c r="F17" s="108" t="n">
        <f aca="false">+E17+C17-D17-B17</f>
        <v>-1352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 t="n">
        <v>25876</v>
      </c>
      <c r="E18" s="108" t="n">
        <v>24612</v>
      </c>
      <c r="F18" s="108" t="n">
        <f aca="false">+E18+C18-D18-B18</f>
        <v>-1264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 t="n">
        <v>25958</v>
      </c>
      <c r="E19" s="108" t="n">
        <v>24612</v>
      </c>
      <c r="F19" s="108" t="n">
        <f aca="false">+E19+C19-D19-B19</f>
        <v>-1346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 t="n">
        <v>13143</v>
      </c>
      <c r="E20" s="108" t="n">
        <v>24612</v>
      </c>
      <c r="F20" s="108" t="n">
        <f aca="false">+E20+C20-D20-B20</f>
        <v>11469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 t="n">
        <v>21240</v>
      </c>
      <c r="E21" s="108" t="n">
        <v>24612</v>
      </c>
      <c r="F21" s="108" t="n">
        <f aca="false">+E21+C21-D21-B21</f>
        <v>3372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 t="n">
        <v>20625</v>
      </c>
      <c r="E22" s="108" t="n">
        <v>24612</v>
      </c>
      <c r="F22" s="108" t="n">
        <f aca="false">+E22+C22-D22-B22</f>
        <v>3987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 t="n">
        <v>15328</v>
      </c>
      <c r="E23" s="108" t="n">
        <v>24612</v>
      </c>
      <c r="F23" s="108" t="n">
        <f aca="false">+E23+C23-D23-B23</f>
        <v>9284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 t="n">
        <v>7908</v>
      </c>
      <c r="E24" s="108" t="n">
        <v>16205</v>
      </c>
      <c r="F24" s="108" t="n">
        <f aca="false">+E24+C24-D24-B24</f>
        <v>8297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 t="n">
        <v>25273</v>
      </c>
      <c r="E25" s="108" t="n">
        <v>24612</v>
      </c>
      <c r="F25" s="108" t="n">
        <f aca="false">+E25+C25-D25-B25</f>
        <v>-661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 t="n">
        <v>25707</v>
      </c>
      <c r="E26" s="108" t="n">
        <v>24612</v>
      </c>
      <c r="F26" s="108" t="n">
        <f aca="false">+E26+C26-D26-B26</f>
        <v>-1095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 t="n">
        <v>25964</v>
      </c>
      <c r="E27" s="108" t="n">
        <v>24612</v>
      </c>
      <c r="F27" s="108" t="n">
        <f aca="false">+E27+C27-D27-B27</f>
        <v>-1352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 t="n">
        <v>25972</v>
      </c>
      <c r="E28" s="108" t="n">
        <v>24612</v>
      </c>
      <c r="F28" s="108" t="n">
        <f aca="false">+E28+C28-D28-B28</f>
        <v>-1360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 t="n">
        <v>25955</v>
      </c>
      <c r="E29" s="108" t="n">
        <v>24612</v>
      </c>
      <c r="F29" s="108" t="n">
        <f aca="false">+E29+C29-D29-B29</f>
        <v>-1343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 t="n">
        <v>25861</v>
      </c>
      <c r="E30" s="108" t="n">
        <v>24612</v>
      </c>
      <c r="F30" s="108" t="n">
        <f aca="false">+E30+C30-D30-B30</f>
        <v>-1249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 t="n">
        <v>25875</v>
      </c>
      <c r="E31" s="108" t="n">
        <v>24612</v>
      </c>
      <c r="F31" s="108" t="n">
        <f aca="false">+E31+C31-D31-B31</f>
        <v>-1263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 t="n">
        <v>25944</v>
      </c>
      <c r="E32" s="108" t="n">
        <v>24612</v>
      </c>
      <c r="F32" s="108" t="n">
        <f aca="false">+E32+C32-D32-B32</f>
        <v>-1332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37103</v>
      </c>
      <c r="I34" s="301" t="n">
        <v>-178485</v>
      </c>
      <c r="J34" s="301" t="n">
        <v>-80532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34</v>
      </c>
      <c r="C35" s="108" t="n">
        <f aca="false">SUM(C4:C34)</f>
        <v>0</v>
      </c>
      <c r="D35" s="108" t="n">
        <f aca="false">SUM(D4:D34)</f>
        <v>669471</v>
      </c>
      <c r="E35" s="108" t="n">
        <f aca="false">SUM(E4:E34)</f>
        <v>705341</v>
      </c>
      <c r="F35" s="108" t="n">
        <f aca="false">SUM(F4:F34)</f>
        <v>35836</v>
      </c>
      <c r="G35" s="108"/>
      <c r="H35" s="124" t="n">
        <f aca="false">+A40</f>
        <v>37132</v>
      </c>
      <c r="I35" s="37" t="n">
        <f aca="false">+C36</f>
        <v>-34</v>
      </c>
      <c r="J35" s="37" t="n">
        <f aca="false">+E36</f>
        <v>35870</v>
      </c>
      <c r="K35" s="30"/>
      <c r="L35" s="30"/>
    </row>
    <row r="36" customFormat="false" ht="12.75" hidden="false" customHeight="false" outlineLevel="0" collapsed="false">
      <c r="C36" s="120" t="n">
        <f aca="false">+C35-B35</f>
        <v>-34</v>
      </c>
      <c r="E36" s="120" t="n">
        <f aca="false">+E35-D35</f>
        <v>35870</v>
      </c>
      <c r="F36" s="120" t="n">
        <f aca="false">+E36+C36</f>
        <v>35836</v>
      </c>
      <c r="H36" s="9"/>
      <c r="I36" s="30" t="n">
        <f aca="false">+I35+I34</f>
        <v>-178519</v>
      </c>
      <c r="J36" s="30" t="n">
        <f aca="false">+J35+J34</f>
        <v>-44662</v>
      </c>
      <c r="K36" s="30" t="n">
        <f aca="false">+J36+I36</f>
        <v>-223181</v>
      </c>
      <c r="L36" s="30"/>
    </row>
    <row r="37" customFormat="false" ht="12.75" hidden="false" customHeight="false" outlineLevel="0" collapsed="false">
      <c r="C37" s="351" t="n">
        <f aca="false">+summary!H5</f>
        <v>2.85</v>
      </c>
      <c r="E37" s="103" t="n">
        <f aca="false">+C37</f>
        <v>2.85</v>
      </c>
      <c r="F37" s="132" t="n">
        <f aca="false">+F36*E37</f>
        <v>102132.6</v>
      </c>
    </row>
    <row r="38" customFormat="false" ht="12.75" hidden="false" customHeight="false" outlineLevel="0" collapsed="false">
      <c r="C38" s="132" t="n">
        <f aca="false">+C37*C36</f>
        <v>-96.9</v>
      </c>
      <c r="E38" s="86" t="n">
        <f aca="false">+E37*E36</f>
        <v>102229.5</v>
      </c>
      <c r="F38" s="132" t="n">
        <f aca="false">+E38+C38</f>
        <v>102132.6</v>
      </c>
    </row>
    <row r="39" customFormat="false" ht="12.75" hidden="false" customHeight="false" outlineLevel="0" collapsed="false">
      <c r="A39" s="152" t="n">
        <v>37103</v>
      </c>
      <c r="B39" s="19" t="s">
        <v>139</v>
      </c>
      <c r="C39" s="352" t="n">
        <v>-1023166</v>
      </c>
      <c r="D39" s="198"/>
      <c r="E39" s="207" t="n">
        <v>-496043.34</v>
      </c>
      <c r="F39" s="131" t="n">
        <f aca="false">+E39+C39</f>
        <v>-1519209.34</v>
      </c>
    </row>
    <row r="40" customFormat="false" ht="12.75" hidden="false" customHeight="false" outlineLevel="0" collapsed="false">
      <c r="A40" s="152" t="n">
        <v>37132</v>
      </c>
      <c r="B40" s="19" t="s">
        <v>139</v>
      </c>
      <c r="C40" s="353" t="n">
        <f aca="false">+C39+C38</f>
        <v>-1023262.9</v>
      </c>
      <c r="D40" s="200"/>
      <c r="E40" s="353" t="n">
        <f aca="false">+E39+E38</f>
        <v>-393813.84</v>
      </c>
      <c r="F40" s="353" t="n">
        <f aca="false">+E40+C40</f>
        <v>-1417076.74</v>
      </c>
      <c r="H40" s="199"/>
    </row>
    <row r="41" customFormat="false" ht="12.75" hidden="false" customHeight="false" outlineLevel="0" collapsed="false">
      <c r="C41" s="354"/>
      <c r="D41" s="201"/>
      <c r="E41" s="201"/>
      <c r="H41" s="137"/>
    </row>
    <row r="42" customFormat="false" ht="12.75" hidden="false" customHeight="false" outlineLevel="0" collapsed="false">
      <c r="C42" s="201"/>
      <c r="D42" s="201"/>
      <c r="E42" s="201"/>
    </row>
    <row r="43" customFormat="false" ht="12.75" hidden="false" customHeight="false" outlineLevel="0" collapsed="false">
      <c r="C43" s="201"/>
      <c r="D43" s="201"/>
      <c r="E43" s="18" t="s">
        <v>181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30" t="n">
        <v>-58339.66</v>
      </c>
      <c r="G44" s="202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30" t="n">
        <v>-51695.87</v>
      </c>
      <c r="G45" s="202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1"/>
      <c r="D46" s="201"/>
      <c r="E46" s="18" t="n">
        <v>26357</v>
      </c>
      <c r="F46" s="355" t="n">
        <v>44144.84</v>
      </c>
      <c r="G46" s="202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1"/>
      <c r="D47" s="201"/>
      <c r="E47" s="18" t="n">
        <v>21544</v>
      </c>
      <c r="F47" s="330" t="n">
        <v>61340.16</v>
      </c>
      <c r="G47" s="202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1"/>
      <c r="D48" s="201"/>
      <c r="E48" s="18" t="n">
        <v>24532</v>
      </c>
      <c r="F48" s="356" t="n">
        <v>-762222.24</v>
      </c>
      <c r="G48" s="202" t="s">
        <v>185</v>
      </c>
      <c r="J48" s="18" t="n">
        <v>24532</v>
      </c>
      <c r="K48" s="301" t="n">
        <v>17769</v>
      </c>
    </row>
    <row r="49" customFormat="false" ht="12.75" hidden="false" customHeight="false" outlineLevel="0" collapsed="false">
      <c r="C49" s="201"/>
      <c r="D49" s="201"/>
      <c r="F49" s="357" t="n">
        <f aca="false">SUM(F40:F48)</f>
        <v>-2183849.51</v>
      </c>
      <c r="G49" s="201"/>
      <c r="K49" s="30" t="n">
        <f aca="false">SUM(K36:K48)</f>
        <v>-164370</v>
      </c>
    </row>
    <row r="50" customFormat="false" ht="12.75" hidden="false" customHeight="false" outlineLevel="0" collapsed="false">
      <c r="C50" s="201"/>
      <c r="D50" s="201"/>
      <c r="F50" s="201"/>
      <c r="G50" s="201"/>
    </row>
    <row r="51" customFormat="false" ht="12.75" hidden="false" customHeight="false" outlineLevel="0" collapsed="false">
      <c r="E51" s="19" t="s">
        <v>186</v>
      </c>
      <c r="F51" s="132" t="n">
        <f aca="false">+Duke!C56</f>
        <v>2420213.17</v>
      </c>
      <c r="M51" s="30" t="n">
        <f aca="false">+Duke!I56</f>
        <v>590025</v>
      </c>
    </row>
    <row r="53" customFormat="false" ht="12.75" hidden="false" customHeight="false" outlineLevel="0" collapsed="false">
      <c r="F53" s="103" t="n">
        <f aca="false">+F51+F49</f>
        <v>236363.66</v>
      </c>
      <c r="M53" s="63" t="n">
        <f aca="false">+M51+K49</f>
        <v>425655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I37" activeCellId="3" sqref="C31 B24 I41 I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187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115</v>
      </c>
      <c r="G7" s="101" t="s">
        <v>116</v>
      </c>
      <c r="H7" s="101" t="s">
        <v>115</v>
      </c>
      <c r="I7" s="101" t="s">
        <v>116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7793</v>
      </c>
      <c r="C8" s="108" t="n">
        <v>6031</v>
      </c>
      <c r="D8" s="108"/>
      <c r="E8" s="108"/>
      <c r="F8" s="108" t="n">
        <v>1235</v>
      </c>
      <c r="G8" s="108" t="n">
        <v>1150</v>
      </c>
      <c r="H8" s="108" t="n">
        <v>1454</v>
      </c>
      <c r="I8" s="108" t="n">
        <v>1283</v>
      </c>
      <c r="J8" s="120" t="n">
        <f aca="false">+C8-B8+E8-D8+G8-F8+I8-H8</f>
        <v>-2018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7791</v>
      </c>
      <c r="C9" s="108" t="n">
        <v>6031</v>
      </c>
      <c r="D9" s="108"/>
      <c r="E9" s="108"/>
      <c r="F9" s="108" t="n">
        <v>1177</v>
      </c>
      <c r="G9" s="108" t="n">
        <v>1150</v>
      </c>
      <c r="H9" s="108" t="n">
        <v>1476</v>
      </c>
      <c r="I9" s="108" t="n">
        <v>1283</v>
      </c>
      <c r="J9" s="120" t="n">
        <f aca="false">+C9-B9+E9-D9+G9-F9+I9-H9</f>
        <v>-1980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5994</v>
      </c>
      <c r="C10" s="108" t="n">
        <v>6031</v>
      </c>
      <c r="D10" s="108"/>
      <c r="E10" s="108"/>
      <c r="F10" s="108" t="n">
        <v>1174</v>
      </c>
      <c r="G10" s="108" t="n">
        <v>1150</v>
      </c>
      <c r="H10" s="108" t="n">
        <v>1523</v>
      </c>
      <c r="I10" s="108" t="n">
        <v>1283</v>
      </c>
      <c r="J10" s="120" t="n">
        <f aca="false">+C10-B10+E10-D10+G10-F10+I10-H10</f>
        <v>-227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7564</v>
      </c>
      <c r="C11" s="108" t="n">
        <v>6031</v>
      </c>
      <c r="D11" s="108"/>
      <c r="E11" s="108"/>
      <c r="F11" s="108" t="n">
        <v>1155</v>
      </c>
      <c r="G11" s="108" t="n">
        <v>1150</v>
      </c>
      <c r="H11" s="108" t="n">
        <v>1485</v>
      </c>
      <c r="I11" s="108" t="n">
        <v>1283</v>
      </c>
      <c r="J11" s="120" t="n">
        <f aca="false">+C11-B11+E11-D11+G11-F11+I11-H11</f>
        <v>-1740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7266</v>
      </c>
      <c r="C12" s="108" t="n">
        <v>6031</v>
      </c>
      <c r="D12" s="108"/>
      <c r="E12" s="108"/>
      <c r="F12" s="108" t="n">
        <v>1111</v>
      </c>
      <c r="G12" s="108" t="n">
        <v>1150</v>
      </c>
      <c r="H12" s="108" t="n">
        <v>1460</v>
      </c>
      <c r="I12" s="108" t="n">
        <v>1283</v>
      </c>
      <c r="J12" s="120" t="n">
        <f aca="false">+C12-B12+E12-D12+G12-F12+I12-H12</f>
        <v>-1373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 t="n">
        <v>7106</v>
      </c>
      <c r="C13" s="108" t="n">
        <v>6031</v>
      </c>
      <c r="D13" s="108"/>
      <c r="E13" s="108"/>
      <c r="F13" s="108" t="n">
        <v>1102</v>
      </c>
      <c r="G13" s="108" t="n">
        <v>1150</v>
      </c>
      <c r="H13" s="108" t="n">
        <v>1390</v>
      </c>
      <c r="I13" s="108" t="n">
        <v>1283</v>
      </c>
      <c r="J13" s="120" t="n">
        <f aca="false">+C13-B13+E13-D13+G13-F13+I13-H13</f>
        <v>-1134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 t="n">
        <v>6926</v>
      </c>
      <c r="C14" s="108" t="n">
        <v>6031</v>
      </c>
      <c r="D14" s="108"/>
      <c r="E14" s="108"/>
      <c r="F14" s="108" t="n">
        <v>1149</v>
      </c>
      <c r="G14" s="108" t="n">
        <v>1150</v>
      </c>
      <c r="H14" s="108" t="n">
        <v>1444</v>
      </c>
      <c r="I14" s="108" t="n">
        <v>1283</v>
      </c>
      <c r="J14" s="120" t="n">
        <f aca="false">+C14-B14+E14-D14+G14-F14+I14-H14</f>
        <v>-1055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 t="n">
        <v>6932</v>
      </c>
      <c r="C15" s="108" t="n">
        <v>6031</v>
      </c>
      <c r="D15" s="108"/>
      <c r="E15" s="108"/>
      <c r="F15" s="108" t="n">
        <v>1096</v>
      </c>
      <c r="G15" s="108" t="n">
        <v>1150</v>
      </c>
      <c r="H15" s="108" t="n">
        <v>1417</v>
      </c>
      <c r="I15" s="108" t="n">
        <v>1283</v>
      </c>
      <c r="J15" s="120" t="n">
        <f aca="false">+C15-B15+E15-D15+G15-F15+I15-H15</f>
        <v>-981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 t="n">
        <v>6825</v>
      </c>
      <c r="C16" s="108" t="n">
        <v>6031</v>
      </c>
      <c r="D16" s="108"/>
      <c r="E16" s="108"/>
      <c r="F16" s="108" t="n">
        <v>1073</v>
      </c>
      <c r="G16" s="108" t="n">
        <v>1150</v>
      </c>
      <c r="H16" s="108" t="n">
        <v>1479</v>
      </c>
      <c r="I16" s="108" t="n">
        <v>1283</v>
      </c>
      <c r="J16" s="120" t="n">
        <f aca="false">+C16-B16+E16-D16+G16-F16+I16-H16</f>
        <v>-913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 t="n">
        <v>7236</v>
      </c>
      <c r="C17" s="108" t="n">
        <v>6031</v>
      </c>
      <c r="D17" s="108"/>
      <c r="E17" s="108"/>
      <c r="F17" s="108" t="n">
        <v>1025</v>
      </c>
      <c r="G17" s="108" t="n">
        <v>1150</v>
      </c>
      <c r="H17" s="108" t="n">
        <v>1307</v>
      </c>
      <c r="I17" s="108" t="n">
        <v>1283</v>
      </c>
      <c r="J17" s="120" t="n">
        <f aca="false">+C17-B17+E17-D17+G17-F17+I17-H17</f>
        <v>-1104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 t="n">
        <v>7145</v>
      </c>
      <c r="C18" s="108" t="n">
        <v>6031</v>
      </c>
      <c r="D18" s="108"/>
      <c r="E18" s="108"/>
      <c r="F18" s="108" t="n">
        <v>1044</v>
      </c>
      <c r="G18" s="108" t="n">
        <v>1150</v>
      </c>
      <c r="H18" s="108" t="n">
        <v>1444</v>
      </c>
      <c r="I18" s="108" t="n">
        <v>1283</v>
      </c>
      <c r="J18" s="120" t="n">
        <f aca="false">+C18-B18+E18-D18+G18-F18+I18-H18</f>
        <v>-1169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 t="n">
        <v>7121</v>
      </c>
      <c r="C19" s="108" t="n">
        <v>6031</v>
      </c>
      <c r="D19" s="108"/>
      <c r="E19" s="108"/>
      <c r="F19" s="108" t="n">
        <v>1011</v>
      </c>
      <c r="G19" s="108" t="n">
        <v>1150</v>
      </c>
      <c r="H19" s="108" t="n">
        <v>1426</v>
      </c>
      <c r="I19" s="108" t="n">
        <v>1283</v>
      </c>
      <c r="J19" s="120" t="n">
        <f aca="false">+C19-B19+E19-D19+G19-F19+I19-H19</f>
        <v>-1094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 t="n">
        <v>7497</v>
      </c>
      <c r="C20" s="108" t="n">
        <v>6031</v>
      </c>
      <c r="D20" s="108"/>
      <c r="E20" s="108"/>
      <c r="F20" s="108" t="n">
        <v>1008</v>
      </c>
      <c r="G20" s="108" t="n">
        <v>1150</v>
      </c>
      <c r="H20" s="108" t="n">
        <v>1419</v>
      </c>
      <c r="I20" s="108" t="n">
        <v>1283</v>
      </c>
      <c r="J20" s="120" t="n">
        <f aca="false">+C20-B20+E20-D20+G20-F20+I20-H20</f>
        <v>-1460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 t="n">
        <v>5169</v>
      </c>
      <c r="C21" s="108" t="n">
        <v>6031</v>
      </c>
      <c r="D21" s="108"/>
      <c r="E21" s="108"/>
      <c r="F21" s="108" t="n">
        <v>956</v>
      </c>
      <c r="G21" s="108" t="n">
        <v>1150</v>
      </c>
      <c r="H21" s="108" t="n">
        <v>1409</v>
      </c>
      <c r="I21" s="108" t="n">
        <v>1283</v>
      </c>
      <c r="J21" s="120" t="n">
        <f aca="false">+C21-B21+E21-D21+G21-F21+I21-H21</f>
        <v>930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 t="n">
        <v>7298</v>
      </c>
      <c r="C22" s="108" t="n">
        <v>6531</v>
      </c>
      <c r="D22" s="108"/>
      <c r="E22" s="108"/>
      <c r="F22" s="108" t="n">
        <v>1098</v>
      </c>
      <c r="G22" s="108" t="n">
        <v>1150</v>
      </c>
      <c r="H22" s="108" t="n">
        <v>1394</v>
      </c>
      <c r="I22" s="108" t="n">
        <v>1283</v>
      </c>
      <c r="J22" s="120" t="n">
        <f aca="false">+C22-B22+E22-D22+G22-F22+I22-H22</f>
        <v>-826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 t="n">
        <v>4507</v>
      </c>
      <c r="C23" s="108" t="n">
        <v>6531</v>
      </c>
      <c r="D23" s="108"/>
      <c r="E23" s="108"/>
      <c r="F23" s="108" t="n">
        <v>1042</v>
      </c>
      <c r="G23" s="108" t="n">
        <v>1150</v>
      </c>
      <c r="H23" s="108" t="n">
        <v>1404</v>
      </c>
      <c r="I23" s="108" t="n">
        <v>1283</v>
      </c>
      <c r="J23" s="120" t="n">
        <f aca="false">+C23-B23+E23-D23+G23-F23+I23-H23</f>
        <v>2011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 t="n">
        <v>5627</v>
      </c>
      <c r="C24" s="108" t="n">
        <v>6513</v>
      </c>
      <c r="D24" s="108"/>
      <c r="E24" s="108"/>
      <c r="F24" s="108" t="n">
        <v>1034</v>
      </c>
      <c r="G24" s="108" t="n">
        <v>1150</v>
      </c>
      <c r="H24" s="108" t="n">
        <v>1409</v>
      </c>
      <c r="I24" s="108" t="n">
        <v>1283</v>
      </c>
      <c r="J24" s="120" t="n">
        <f aca="false">+C24-B24+E24-D24+G24-F24+I24-H24</f>
        <v>876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 t="n">
        <v>6389</v>
      </c>
      <c r="C25" s="108" t="n">
        <v>6531</v>
      </c>
      <c r="D25" s="108"/>
      <c r="E25" s="108"/>
      <c r="F25" s="108" t="n">
        <v>1004</v>
      </c>
      <c r="G25" s="108" t="n">
        <v>1150</v>
      </c>
      <c r="H25" s="108" t="n">
        <v>1399</v>
      </c>
      <c r="I25" s="108" t="n">
        <v>1283</v>
      </c>
      <c r="J25" s="120" t="n">
        <f aca="false">+C25-B25+E25-D25+G25-F25+I25-H25</f>
        <v>172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 t="n">
        <v>6016</v>
      </c>
      <c r="C26" s="108" t="n">
        <v>6531</v>
      </c>
      <c r="D26" s="108"/>
      <c r="E26" s="108"/>
      <c r="F26" s="108" t="n">
        <v>877</v>
      </c>
      <c r="G26" s="108" t="n">
        <v>1150</v>
      </c>
      <c r="H26" s="108" t="n">
        <v>1388</v>
      </c>
      <c r="I26" s="108" t="n">
        <v>1283</v>
      </c>
      <c r="J26" s="120" t="n">
        <f aca="false">+C26-B26+E26-D26+G26-F26+I26-H26</f>
        <v>683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 t="n">
        <v>7602</v>
      </c>
      <c r="C27" s="108" t="n">
        <v>6531</v>
      </c>
      <c r="D27" s="108"/>
      <c r="E27" s="108"/>
      <c r="F27" s="108" t="n">
        <v>1064</v>
      </c>
      <c r="G27" s="108" t="n">
        <v>1150</v>
      </c>
      <c r="H27" s="108" t="n">
        <v>1365</v>
      </c>
      <c r="I27" s="108" t="n">
        <v>1283</v>
      </c>
      <c r="J27" s="120" t="n">
        <f aca="false">+C27-B27+E27-D27+G27-F27+I27-H27</f>
        <v>-1067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 t="n">
        <v>7180</v>
      </c>
      <c r="C28" s="108" t="n">
        <v>6531</v>
      </c>
      <c r="D28" s="108"/>
      <c r="E28" s="108"/>
      <c r="F28" s="108" t="n">
        <v>965</v>
      </c>
      <c r="G28" s="108" t="n">
        <v>1150</v>
      </c>
      <c r="H28" s="108" t="n">
        <v>1220</v>
      </c>
      <c r="I28" s="108" t="n">
        <v>1283</v>
      </c>
      <c r="J28" s="120" t="n">
        <f aca="false">+C28-B28+E28-D28+G28-F28+I28-H28</f>
        <v>-401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 t="n">
        <v>6993</v>
      </c>
      <c r="C29" s="108" t="n">
        <v>6531</v>
      </c>
      <c r="D29" s="108"/>
      <c r="E29" s="108"/>
      <c r="F29" s="108" t="n">
        <v>1003</v>
      </c>
      <c r="G29" s="108" t="n">
        <v>1150</v>
      </c>
      <c r="H29" s="108" t="n">
        <v>1451</v>
      </c>
      <c r="I29" s="108" t="n">
        <v>1283</v>
      </c>
      <c r="J29" s="120" t="n">
        <f aca="false">+C29-B29+E29-D29+G29-F29+I29-H29</f>
        <v>-483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 t="n">
        <v>7013</v>
      </c>
      <c r="C30" s="108" t="n">
        <v>6531</v>
      </c>
      <c r="D30" s="108"/>
      <c r="E30" s="108"/>
      <c r="F30" s="108" t="n">
        <v>810</v>
      </c>
      <c r="G30" s="108" t="n">
        <v>1150</v>
      </c>
      <c r="H30" s="108" t="n">
        <v>1390</v>
      </c>
      <c r="I30" s="108" t="n">
        <v>1283</v>
      </c>
      <c r="J30" s="120" t="n">
        <f aca="false">+C30-B30+E30-D30+G30-F30+I30-H30</f>
        <v>-249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 t="n">
        <v>7149</v>
      </c>
      <c r="C31" s="108" t="n">
        <v>6531</v>
      </c>
      <c r="D31" s="108"/>
      <c r="E31" s="108"/>
      <c r="F31" s="108" t="n">
        <v>912</v>
      </c>
      <c r="G31" s="108" t="n">
        <v>1150</v>
      </c>
      <c r="H31" s="108" t="n">
        <v>1365</v>
      </c>
      <c r="I31" s="108" t="n">
        <v>1283</v>
      </c>
      <c r="J31" s="120" t="n">
        <f aca="false">+C31-B31+E31-D31+G31-F31+I31-H31</f>
        <v>-462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 t="n">
        <v>6994</v>
      </c>
      <c r="C32" s="108" t="n">
        <v>6531</v>
      </c>
      <c r="D32" s="108"/>
      <c r="E32" s="108"/>
      <c r="F32" s="108" t="n">
        <v>930</v>
      </c>
      <c r="G32" s="108" t="n">
        <v>1150</v>
      </c>
      <c r="H32" s="108" t="n">
        <v>1337</v>
      </c>
      <c r="I32" s="108" t="n">
        <v>1283</v>
      </c>
      <c r="J32" s="120" t="n">
        <f aca="false">+C32-B32+E32-D32+G32-F32+I32-H32</f>
        <v>-297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 t="n">
        <v>6890</v>
      </c>
      <c r="C33" s="108" t="n">
        <v>6531</v>
      </c>
      <c r="D33" s="108"/>
      <c r="E33" s="108"/>
      <c r="F33" s="108" t="n">
        <v>1026</v>
      </c>
      <c r="G33" s="108" t="n">
        <v>1150</v>
      </c>
      <c r="H33" s="108" t="n">
        <v>1320</v>
      </c>
      <c r="I33" s="108" t="n">
        <v>1283</v>
      </c>
      <c r="J33" s="120" t="n">
        <f aca="false">+C33-B33+E33-D33+G33-F33+I33-H33</f>
        <v>-272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 t="n">
        <v>6701</v>
      </c>
      <c r="C34" s="108" t="n">
        <v>6531</v>
      </c>
      <c r="D34" s="108"/>
      <c r="E34" s="108"/>
      <c r="F34" s="108" t="n">
        <v>411</v>
      </c>
      <c r="G34" s="108" t="n">
        <v>1150</v>
      </c>
      <c r="H34" s="108" t="n">
        <v>1170</v>
      </c>
      <c r="I34" s="108" t="n">
        <v>1283</v>
      </c>
      <c r="J34" s="120" t="n">
        <f aca="false">+C34-B34+E34-D34+G34-F34+I34-H34</f>
        <v>682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 t="n">
        <v>7235</v>
      </c>
      <c r="C35" s="108" t="n">
        <v>6531</v>
      </c>
      <c r="D35" s="108"/>
      <c r="E35" s="108"/>
      <c r="F35" s="108" t="n">
        <v>1004</v>
      </c>
      <c r="G35" s="108" t="n">
        <v>1150</v>
      </c>
      <c r="H35" s="108" t="n">
        <v>1540</v>
      </c>
      <c r="I35" s="108" t="n">
        <v>1283</v>
      </c>
      <c r="J35" s="120" t="n">
        <f aca="false">+C35-B35+E35-D35+G35-F35+I35-H35</f>
        <v>-815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 t="n">
        <v>7253</v>
      </c>
      <c r="C36" s="108" t="n">
        <v>6531</v>
      </c>
      <c r="D36" s="108"/>
      <c r="E36" s="108"/>
      <c r="F36" s="108" t="n">
        <v>1078</v>
      </c>
      <c r="G36" s="108" t="n">
        <v>1150</v>
      </c>
      <c r="H36" s="108" t="n">
        <v>1747</v>
      </c>
      <c r="I36" s="108" t="n">
        <v>1283</v>
      </c>
      <c r="J36" s="120" t="n">
        <f aca="false">+C36-B36+E36-D36+G36-F36+I36-H36</f>
        <v>-1114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199212</v>
      </c>
      <c r="C39" s="108" t="n">
        <f aca="false">SUM(C8:C38)</f>
        <v>182381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29574</v>
      </c>
      <c r="G39" s="108" t="n">
        <f aca="false">SUM(G8:G38)</f>
        <v>33350</v>
      </c>
      <c r="H39" s="108" t="n">
        <f aca="false">SUM(H8:H38)</f>
        <v>41032</v>
      </c>
      <c r="I39" s="108" t="n">
        <f aca="false">SUM(I8:I38)</f>
        <v>37207</v>
      </c>
      <c r="J39" s="120" t="n">
        <f aca="false">SUM(J8:J38)</f>
        <v>-16880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0" t="n">
        <f aca="false">+summary!H4</f>
        <v>2.77</v>
      </c>
      <c r="K40" s="134"/>
      <c r="L40" s="0"/>
      <c r="M40" s="30"/>
      <c r="R40" s="184"/>
      <c r="S40" s="134"/>
      <c r="U40" s="30"/>
      <c r="X40" s="184"/>
    </row>
    <row r="41" customFormat="false" ht="12.75" hidden="false" customHeight="false" outlineLevel="0" collapsed="false">
      <c r="J41" s="132" t="n">
        <f aca="false">+J40*J39</f>
        <v>-46757.6</v>
      </c>
      <c r="L41" s="0"/>
      <c r="R41" s="132"/>
      <c r="X41" s="132"/>
    </row>
    <row r="42" customFormat="false" ht="12.75" hidden="false" customHeight="false" outlineLevel="0" collapsed="false">
      <c r="A42" s="152" t="n">
        <v>37103</v>
      </c>
      <c r="C42" s="79"/>
      <c r="J42" s="183" t="n">
        <v>372841.88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37132</v>
      </c>
      <c r="C43" s="151"/>
      <c r="J43" s="132" t="n">
        <f aca="false">+J42+J41</f>
        <v>326084.28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1" t="n">
        <v>146405</v>
      </c>
      <c r="L47" s="0"/>
    </row>
    <row r="48" customFormat="false" ht="12.75" hidden="false" customHeight="false" outlineLevel="0" collapsed="false">
      <c r="A48" s="124" t="n">
        <f aca="false">+A43</f>
        <v>37132</v>
      </c>
      <c r="B48" s="9"/>
      <c r="C48" s="9"/>
      <c r="D48" s="37" t="n">
        <f aca="false">+J39</f>
        <v>-16880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129525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8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188</v>
      </c>
      <c r="D6" s="98" t="s">
        <v>189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134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12222</v>
      </c>
      <c r="C8" s="108" t="n">
        <v>11345</v>
      </c>
      <c r="D8" s="108"/>
      <c r="E8" s="108"/>
      <c r="F8" s="120" t="n">
        <f aca="false">+C8-B8+E8-D8</f>
        <v>-877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12888</v>
      </c>
      <c r="C9" s="108" t="n">
        <v>11487</v>
      </c>
      <c r="D9" s="108"/>
      <c r="E9" s="108"/>
      <c r="F9" s="120" t="n">
        <f aca="false">+C9-B9+E9-D9</f>
        <v>-1401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11891</v>
      </c>
      <c r="C10" s="108" t="n">
        <v>11488</v>
      </c>
      <c r="D10" s="108"/>
      <c r="E10" s="108"/>
      <c r="F10" s="120" t="n">
        <f aca="false">+C10-B10+E10-D10</f>
        <v>-403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11899</v>
      </c>
      <c r="C11" s="108" t="n">
        <v>11090</v>
      </c>
      <c r="D11" s="108"/>
      <c r="E11" s="108"/>
      <c r="F11" s="120" t="n">
        <f aca="false">+C11-B11+E11-D11</f>
        <v>-809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11842</v>
      </c>
      <c r="C12" s="108" t="n">
        <v>11492</v>
      </c>
      <c r="D12" s="108"/>
      <c r="E12" s="108"/>
      <c r="F12" s="120" t="n">
        <f aca="false">+C12-B12+E12-D12</f>
        <v>-350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 t="n">
        <v>11356</v>
      </c>
      <c r="C13" s="108" t="n">
        <v>11494</v>
      </c>
      <c r="D13" s="108"/>
      <c r="E13" s="108"/>
      <c r="F13" s="120" t="n">
        <f aca="false">+C13-B13+E13-D13</f>
        <v>138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 t="n">
        <v>11348</v>
      </c>
      <c r="C14" s="108" t="n">
        <v>11494</v>
      </c>
      <c r="D14" s="108"/>
      <c r="E14" s="108"/>
      <c r="F14" s="120" t="n">
        <f aca="false">+C14-B14+E14-D14</f>
        <v>146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 t="n">
        <v>10776</v>
      </c>
      <c r="C15" s="108" t="n">
        <v>11494</v>
      </c>
      <c r="D15" s="108"/>
      <c r="E15" s="108"/>
      <c r="F15" s="120" t="n">
        <f aca="false">+C15-B15+E15-D15</f>
        <v>718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 t="n">
        <v>9978</v>
      </c>
      <c r="C16" s="108" t="n">
        <v>11484</v>
      </c>
      <c r="D16" s="108"/>
      <c r="E16" s="108"/>
      <c r="F16" s="120" t="n">
        <f aca="false">+C16-B16+E16-D16</f>
        <v>1506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 t="n">
        <v>11468</v>
      </c>
      <c r="C17" s="108" t="n">
        <v>11494</v>
      </c>
      <c r="D17" s="108"/>
      <c r="E17" s="108"/>
      <c r="F17" s="120" t="n">
        <f aca="false">+C17-B17+E17-D17</f>
        <v>26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 t="n">
        <v>12065</v>
      </c>
      <c r="C18" s="108" t="n">
        <v>11444</v>
      </c>
      <c r="D18" s="108" t="n">
        <v>-1</v>
      </c>
      <c r="E18" s="108"/>
      <c r="F18" s="120" t="n">
        <f aca="false">+C18-B18+E18-D18</f>
        <v>-620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 t="n">
        <v>12710</v>
      </c>
      <c r="C19" s="108" t="n">
        <v>11444</v>
      </c>
      <c r="D19" s="108"/>
      <c r="E19" s="108"/>
      <c r="F19" s="120" t="n">
        <f aca="false">+C19-B19+E19-D19</f>
        <v>-1266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 t="n">
        <v>12195</v>
      </c>
      <c r="C20" s="108" t="n">
        <v>11444</v>
      </c>
      <c r="D20" s="108"/>
      <c r="E20" s="108"/>
      <c r="F20" s="120" t="n">
        <f aca="false">+C20-B20+E20-D20</f>
        <v>-751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 t="n">
        <v>11723</v>
      </c>
      <c r="C21" s="108" t="n">
        <v>11830</v>
      </c>
      <c r="D21" s="108"/>
      <c r="E21" s="108"/>
      <c r="F21" s="120" t="n">
        <f aca="false">+C21-B21+E21-D21</f>
        <v>107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 t="n">
        <v>11710</v>
      </c>
      <c r="C22" s="108" t="n">
        <v>11837</v>
      </c>
      <c r="D22" s="108"/>
      <c r="E22" s="108"/>
      <c r="F22" s="120" t="n">
        <f aca="false">+C22-B22+E22-D22</f>
        <v>127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 t="n">
        <v>11767</v>
      </c>
      <c r="C23" s="108" t="n">
        <v>11772</v>
      </c>
      <c r="D23" s="108" t="n">
        <v>-183</v>
      </c>
      <c r="E23" s="108"/>
      <c r="F23" s="120" t="n">
        <f aca="false">+C23-B23+E23-D23</f>
        <v>188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 t="n">
        <v>12666</v>
      </c>
      <c r="C24" s="108" t="n">
        <v>11494</v>
      </c>
      <c r="D24" s="108" t="n">
        <v>-7</v>
      </c>
      <c r="E24" s="108"/>
      <c r="F24" s="120" t="n">
        <f aca="false">+C24-B24+E24-D24</f>
        <v>-1165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 t="n">
        <v>10964</v>
      </c>
      <c r="C25" s="108" t="n">
        <v>11467</v>
      </c>
      <c r="D25" s="108" t="n">
        <v>-66</v>
      </c>
      <c r="E25" s="108"/>
      <c r="F25" s="120" t="n">
        <f aca="false">+C25-B25+E25-D25</f>
        <v>569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 t="n">
        <v>11753</v>
      </c>
      <c r="C26" s="108" t="n">
        <v>11467</v>
      </c>
      <c r="D26" s="108" t="n">
        <v>-113</v>
      </c>
      <c r="E26" s="108"/>
      <c r="F26" s="120" t="n">
        <f aca="false">+C26-B26+E26-D26</f>
        <v>-173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 t="n">
        <v>12464</v>
      </c>
      <c r="C27" s="108" t="n">
        <v>11467</v>
      </c>
      <c r="D27" s="108" t="n">
        <v>-62</v>
      </c>
      <c r="E27" s="108"/>
      <c r="F27" s="120" t="n">
        <f aca="false">+C27-B27+E27-D27</f>
        <v>-935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 t="n">
        <v>11838</v>
      </c>
      <c r="C28" s="108" t="n">
        <v>11494</v>
      </c>
      <c r="D28" s="108" t="n">
        <v>-36</v>
      </c>
      <c r="E28" s="108"/>
      <c r="F28" s="120" t="n">
        <f aca="false">+C28-B28+E28-D28</f>
        <v>-308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 t="n">
        <v>10177</v>
      </c>
      <c r="C29" s="108" t="n">
        <v>11494</v>
      </c>
      <c r="D29" s="108" t="n">
        <v>-104</v>
      </c>
      <c r="E29" s="108"/>
      <c r="F29" s="120" t="n">
        <f aca="false">+C29-B29+E29-D29</f>
        <v>1421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 t="n">
        <v>12025</v>
      </c>
      <c r="C30" s="108" t="n">
        <v>11494</v>
      </c>
      <c r="D30" s="108" t="n">
        <v>-81</v>
      </c>
      <c r="E30" s="108"/>
      <c r="F30" s="120" t="n">
        <f aca="false">+C30-B30+E30-D30</f>
        <v>-450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 t="n">
        <v>12022</v>
      </c>
      <c r="C31" s="108" t="n">
        <v>11494</v>
      </c>
      <c r="D31" s="108" t="n">
        <v>-121</v>
      </c>
      <c r="E31" s="108"/>
      <c r="F31" s="120" t="n">
        <f aca="false">+C31-B31+E31-D31</f>
        <v>-407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 t="n">
        <v>12244</v>
      </c>
      <c r="C32" s="108" t="n">
        <v>11494</v>
      </c>
      <c r="D32" s="108" t="n">
        <v>-47</v>
      </c>
      <c r="E32" s="108"/>
      <c r="F32" s="120" t="n">
        <f aca="false">+C32-B32+E32-D32</f>
        <v>-703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 t="n">
        <v>12116</v>
      </c>
      <c r="C33" s="108" t="n">
        <v>11494</v>
      </c>
      <c r="D33" s="108" t="n">
        <v>-58</v>
      </c>
      <c r="E33" s="108"/>
      <c r="F33" s="120" t="n">
        <f aca="false">+C33-B33+E33-D33</f>
        <v>-564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 t="n">
        <v>11442</v>
      </c>
      <c r="C34" s="108" t="n">
        <v>11494</v>
      </c>
      <c r="D34" s="108" t="n">
        <v>-65</v>
      </c>
      <c r="E34" s="108"/>
      <c r="F34" s="120" t="n">
        <f aca="false">+C34-B34+E34-D34</f>
        <v>117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 t="n">
        <v>11281</v>
      </c>
      <c r="C35" s="108" t="n">
        <v>11494</v>
      </c>
      <c r="D35" s="108" t="n">
        <v>-64</v>
      </c>
      <c r="E35" s="108"/>
      <c r="F35" s="120" t="n">
        <f aca="false">+C35-B35+E35-D35</f>
        <v>277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 t="n">
        <v>11350</v>
      </c>
      <c r="C36" s="108" t="n">
        <v>11494</v>
      </c>
      <c r="D36" s="108"/>
      <c r="E36" s="108"/>
      <c r="F36" s="120" t="n">
        <f aca="false">+C36-B36+E36-D36</f>
        <v>144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340180</v>
      </c>
      <c r="C39" s="108" t="n">
        <f aca="false">SUM(C8:C38)</f>
        <v>333474</v>
      </c>
      <c r="D39" s="108" t="n">
        <f aca="false">SUM(D8:D38)</f>
        <v>-1008</v>
      </c>
      <c r="E39" s="108" t="n">
        <f aca="false">SUM(E8:E38)</f>
        <v>0</v>
      </c>
      <c r="F39" s="108" t="n">
        <f aca="false">SUM(F8:F38)</f>
        <v>-5698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4" t="n">
        <f aca="false">+summary!H4</f>
        <v>2.77</v>
      </c>
      <c r="G40" s="134"/>
      <c r="I40" s="30"/>
      <c r="J40" s="184"/>
      <c r="K40" s="134"/>
      <c r="M40" s="30"/>
      <c r="N40" s="184"/>
      <c r="O40" s="134"/>
      <c r="Q40" s="30"/>
      <c r="R40" s="184"/>
      <c r="S40" s="134"/>
      <c r="U40" s="30"/>
      <c r="V40" s="184"/>
      <c r="W40" s="134"/>
      <c r="Y40" s="30"/>
      <c r="Z40" s="184"/>
    </row>
    <row r="41" customFormat="false" ht="12.75" hidden="false" customHeight="false" outlineLevel="0" collapsed="false">
      <c r="F41" s="132" t="n">
        <f aca="false">+F40*F39</f>
        <v>-15783.46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37103</v>
      </c>
      <c r="C42" s="79"/>
      <c r="D42" s="79"/>
      <c r="E42" s="79"/>
      <c r="F42" s="361" t="n">
        <v>442176.52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37132</v>
      </c>
      <c r="C43" s="151"/>
      <c r="D43" s="151"/>
      <c r="E43" s="151"/>
      <c r="F43" s="117" t="n">
        <f aca="false">+F42+F41</f>
        <v>426393.06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1" t="n">
        <v>-235778</v>
      </c>
      <c r="E47" s="108"/>
    </row>
    <row r="48" customFormat="false" ht="12.75" hidden="false" customHeight="false" outlineLevel="0" collapsed="false">
      <c r="A48" s="124" t="n">
        <f aca="false">+A43</f>
        <v>37132</v>
      </c>
      <c r="B48" s="9"/>
      <c r="C48" s="9"/>
      <c r="D48" s="37" t="n">
        <f aca="false">+F39</f>
        <v>-5698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-241476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G12" activeCellId="3" sqref="B15 B16 B10 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v>2.61</v>
      </c>
      <c r="I3" s="69" t="n">
        <f aca="true">NOW()</f>
        <v>45926.9540548886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v>2.77</v>
      </c>
    </row>
    <row r="5" customFormat="false" ht="15" hidden="false" customHeight="true" outlineLevel="0" collapsed="false">
      <c r="B5" s="61"/>
      <c r="G5" s="67" t="s">
        <v>6</v>
      </c>
      <c r="H5" s="68" t="n">
        <v>2.85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78</v>
      </c>
      <c r="B8" s="29" t="n">
        <f aca="false">+C8*$H$3</f>
        <v>717567.3</v>
      </c>
      <c r="C8" s="27" t="n">
        <f aca="false">+williams!J40</f>
        <v>274930</v>
      </c>
      <c r="D8" s="32" t="n">
        <f aca="false">+williams!A40</f>
        <v>37132</v>
      </c>
      <c r="E8" s="28" t="s">
        <v>99</v>
      </c>
      <c r="F8" s="28" t="s">
        <v>79</v>
      </c>
      <c r="G8" s="9"/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43</v>
      </c>
      <c r="B9" s="29" t="n">
        <f aca="false">+Conoco!$F$41</f>
        <v>542101.44</v>
      </c>
      <c r="C9" s="27" t="n">
        <f aca="false">+B9/$H$4</f>
        <v>195704.490974729</v>
      </c>
      <c r="D9" s="32" t="n">
        <f aca="false">+Conoco!A41</f>
        <v>37132</v>
      </c>
      <c r="E9" s="9" t="s">
        <v>100</v>
      </c>
      <c r="F9" s="9" t="s">
        <v>37</v>
      </c>
      <c r="G9" s="9" t="s">
        <v>101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8" t="s">
        <v>53</v>
      </c>
      <c r="B10" s="29" t="n">
        <f aca="false">+PGETX!$H$39</f>
        <v>485011.93</v>
      </c>
      <c r="C10" s="27" t="n">
        <f aca="false">+B10/$H$4</f>
        <v>175094.559566787</v>
      </c>
      <c r="D10" s="35" t="n">
        <f aca="false">+PGETX!E39</f>
        <v>37132</v>
      </c>
      <c r="E10" s="9" t="s">
        <v>100</v>
      </c>
      <c r="F10" s="9" t="s">
        <v>54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8" t="s">
        <v>50</v>
      </c>
      <c r="B11" s="29" t="n">
        <f aca="false">+CIG!$D$43</f>
        <v>480667.28</v>
      </c>
      <c r="C11" s="27" t="n">
        <f aca="false">+B11/$H$4</f>
        <v>173526.093862816</v>
      </c>
      <c r="D11" s="35" t="n">
        <f aca="false">+CIG!A43</f>
        <v>37130</v>
      </c>
      <c r="E11" s="9" t="s">
        <v>100</v>
      </c>
      <c r="F11" s="9" t="s">
        <v>37</v>
      </c>
      <c r="G11" s="9" t="s">
        <v>102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8" t="s">
        <v>47</v>
      </c>
      <c r="B12" s="29" t="n">
        <f aca="false">+KN_Westar!F41</f>
        <v>458173.46</v>
      </c>
      <c r="C12" s="27" t="n">
        <f aca="false">+B12/$H$4</f>
        <v>165405.581227437</v>
      </c>
      <c r="D12" s="35" t="n">
        <f aca="false">+KN_Westar!A41</f>
        <v>37132</v>
      </c>
      <c r="E12" s="9" t="s">
        <v>100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7" t="s">
        <v>74</v>
      </c>
      <c r="B13" s="29" t="n">
        <f aca="false">+C13*$H$4</f>
        <v>454327.09</v>
      </c>
      <c r="C13" s="30" t="n">
        <f aca="false">+SoCal!F40</f>
        <v>164017</v>
      </c>
      <c r="D13" s="32" t="n">
        <f aca="false">+SoCal!A40</f>
        <v>37132</v>
      </c>
      <c r="E13" s="28" t="s">
        <v>99</v>
      </c>
      <c r="F13" s="28" t="s">
        <v>54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8" t="s">
        <v>45</v>
      </c>
      <c r="B14" s="29" t="n">
        <f aca="false">+'Amoco Abo'!$F$43</f>
        <v>426393.06</v>
      </c>
      <c r="C14" s="27" t="n">
        <f aca="false">+B14/$H$4</f>
        <v>153932.512635379</v>
      </c>
      <c r="D14" s="35" t="n">
        <f aca="false">+'Amoco Abo'!A43</f>
        <v>37132</v>
      </c>
      <c r="E14" s="9" t="s">
        <v>100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8" t="s">
        <v>72</v>
      </c>
      <c r="B15" s="29" t="n">
        <f aca="false">+C15*$H$4</f>
        <v>418826.77</v>
      </c>
      <c r="C15" s="27" t="n">
        <f aca="false">+Mojave!D40</f>
        <v>151201</v>
      </c>
      <c r="D15" s="35" t="n">
        <f aca="false">+Mojave!A40</f>
        <v>37132</v>
      </c>
      <c r="E15" s="9" t="s">
        <v>99</v>
      </c>
      <c r="F15" s="9" t="s">
        <v>27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81</v>
      </c>
      <c r="B16" s="80" t="n">
        <f aca="false">+C16*$H$3</f>
        <v>364836.24</v>
      </c>
      <c r="C16" s="81" t="n">
        <f aca="false">+'Red C'!F43</f>
        <v>139784</v>
      </c>
      <c r="D16" s="32" t="n">
        <f aca="false">+'Red C'!B43</f>
        <v>37132</v>
      </c>
      <c r="E16" s="28" t="s">
        <v>99</v>
      </c>
      <c r="F16" s="9" t="s">
        <v>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8" t="s">
        <v>88</v>
      </c>
      <c r="B17" s="29" t="n">
        <f aca="false">+C17*$H$4</f>
        <v>337131.16</v>
      </c>
      <c r="C17" s="27" t="n">
        <f aca="false">+NGPL!F38</f>
        <v>121708</v>
      </c>
      <c r="D17" s="35" t="n">
        <f aca="false">+NGPL!A38</f>
        <v>37132</v>
      </c>
      <c r="E17" s="9" t="s">
        <v>99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8" t="s">
        <v>52</v>
      </c>
      <c r="B18" s="29" t="n">
        <f aca="false">+mewborne!$J$43</f>
        <v>326084.28</v>
      </c>
      <c r="C18" s="27" t="n">
        <f aca="false">+B18/$H$4</f>
        <v>117719.9566787</v>
      </c>
      <c r="D18" s="35" t="n">
        <f aca="false">+mewborne!A43</f>
        <v>37132</v>
      </c>
      <c r="E18" s="9" t="s">
        <v>100</v>
      </c>
      <c r="F18" s="9" t="s">
        <v>23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7" t="s">
        <v>41</v>
      </c>
      <c r="B19" s="29" t="n">
        <f aca="false">+NNG!$D$24</f>
        <v>319424.83</v>
      </c>
      <c r="C19" s="27" t="n">
        <f aca="false">+B19/$H$4</f>
        <v>115315.823104693</v>
      </c>
      <c r="D19" s="32" t="n">
        <f aca="false">+NNG!A24</f>
        <v>37132</v>
      </c>
      <c r="E19" s="28" t="s">
        <v>100</v>
      </c>
      <c r="F19" s="28" t="s">
        <v>27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8" t="s">
        <v>83</v>
      </c>
      <c r="B20" s="29" t="n">
        <f aca="false">+C20*$H$3</f>
        <v>242912.7</v>
      </c>
      <c r="C20" s="27" t="n">
        <f aca="false">+Amoco!D40</f>
        <v>93070</v>
      </c>
      <c r="D20" s="35" t="n">
        <f aca="false">+Amoco!A40</f>
        <v>37132</v>
      </c>
      <c r="E20" s="9" t="s">
        <v>99</v>
      </c>
      <c r="F20" s="9" t="s">
        <v>35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8" t="s">
        <v>48</v>
      </c>
      <c r="B21" s="29" t="n">
        <f aca="false">+DEFS!F53</f>
        <v>236363.66</v>
      </c>
      <c r="C21" s="30" t="n">
        <f aca="false">+B21/$H$4</f>
        <v>85329.8411552347</v>
      </c>
      <c r="D21" s="35" t="n">
        <f aca="false">+DEFS!A40</f>
        <v>37132</v>
      </c>
      <c r="E21" s="9" t="s">
        <v>100</v>
      </c>
      <c r="F21" s="9" t="s">
        <v>27</v>
      </c>
      <c r="G21" s="9" t="s">
        <v>49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8" t="s">
        <v>92</v>
      </c>
      <c r="B22" s="29" t="n">
        <f aca="false">+C22*$H$4</f>
        <v>199847.19</v>
      </c>
      <c r="C22" s="27" t="n">
        <f aca="false">+Lonestar!F42</f>
        <v>72147</v>
      </c>
      <c r="D22" s="32" t="n">
        <f aca="false">+Lonestar!B42</f>
        <v>37132</v>
      </c>
      <c r="E22" s="9" t="s">
        <v>99</v>
      </c>
      <c r="F22" s="9" t="s">
        <v>54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8" t="s">
        <v>86</v>
      </c>
      <c r="B23" s="29" t="n">
        <f aca="false">+C23*$H$3</f>
        <v>185022.9</v>
      </c>
      <c r="C23" s="30" t="n">
        <f aca="false">+NW!$F$41</f>
        <v>70890</v>
      </c>
      <c r="D23" s="32" t="n">
        <f aca="false">+NW!B41</f>
        <v>37132</v>
      </c>
      <c r="E23" s="9" t="s">
        <v>99</v>
      </c>
      <c r="F23" s="9" t="s">
        <v>35</v>
      </c>
      <c r="G23" s="34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8" t="s">
        <v>56</v>
      </c>
      <c r="B24" s="29" t="n">
        <f aca="false">+PNM!$D$23</f>
        <v>138056.7</v>
      </c>
      <c r="C24" s="27" t="n">
        <f aca="false">+B24/$H$4</f>
        <v>49839.963898917</v>
      </c>
      <c r="D24" s="35" t="n">
        <f aca="false">+PNM!A23</f>
        <v>37132</v>
      </c>
      <c r="E24" s="9" t="s">
        <v>100</v>
      </c>
      <c r="F24" s="9" t="s">
        <v>35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8" t="s">
        <v>89</v>
      </c>
      <c r="B25" s="46" t="n">
        <f aca="false">+C25*$H$4</f>
        <v>137090.07</v>
      </c>
      <c r="C25" s="81" t="n">
        <f aca="false">+PEPL!D41</f>
        <v>49491</v>
      </c>
      <c r="D25" s="35" t="n">
        <f aca="false">+PEPL!A41</f>
        <v>37132</v>
      </c>
      <c r="E25" s="9" t="s">
        <v>99</v>
      </c>
      <c r="F25" s="9" t="s">
        <v>27</v>
      </c>
      <c r="G25" s="9" t="s">
        <v>90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8" t="s">
        <v>77</v>
      </c>
      <c r="B26" s="29" t="n">
        <f aca="false">+C26*$H$4</f>
        <v>118265.15</v>
      </c>
      <c r="C26" s="30" t="n">
        <f aca="false">+'PG&amp;E'!D40</f>
        <v>42695</v>
      </c>
      <c r="D26" s="35" t="n">
        <f aca="false">+'PG&amp;E'!A40</f>
        <v>37132</v>
      </c>
      <c r="E26" s="9" t="s">
        <v>99</v>
      </c>
      <c r="F26" s="9" t="s">
        <v>54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8" t="s">
        <v>91</v>
      </c>
      <c r="B27" s="29" t="n">
        <f aca="false">+C27*$H$4</f>
        <v>113068.63</v>
      </c>
      <c r="C27" s="30" t="n">
        <f aca="false">+Oasis!D40</f>
        <v>40819</v>
      </c>
      <c r="D27" s="35" t="n">
        <f aca="false">+Oasis!B40</f>
        <v>37132</v>
      </c>
      <c r="E27" s="9" t="s">
        <v>99</v>
      </c>
      <c r="F27" s="9" t="s">
        <v>54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7" t="s">
        <v>22</v>
      </c>
      <c r="B28" s="29" t="n">
        <f aca="false">+Calpine!D41</f>
        <v>95590.5</v>
      </c>
      <c r="C28" s="30" t="n">
        <f aca="false">+B28/$H$4</f>
        <v>34509.2057761733</v>
      </c>
      <c r="D28" s="32" t="n">
        <f aca="false">+Calpine!A41</f>
        <v>37132</v>
      </c>
      <c r="E28" s="28" t="s">
        <v>100</v>
      </c>
      <c r="F28" s="28" t="s">
        <v>23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8" t="s">
        <v>57</v>
      </c>
      <c r="B29" s="29" t="n">
        <f aca="false">+EOG!J41</f>
        <v>72309.86</v>
      </c>
      <c r="C29" s="27" t="n">
        <f aca="false">+B29/$H$4</f>
        <v>26104.642599278</v>
      </c>
      <c r="D29" s="32" t="n">
        <f aca="false">+EOG!A41</f>
        <v>37132</v>
      </c>
      <c r="E29" s="9" t="s">
        <v>100</v>
      </c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7" t="s">
        <v>33</v>
      </c>
      <c r="B30" s="46" t="n">
        <f aca="false">+transcol!$D$43</f>
        <v>21633.37</v>
      </c>
      <c r="C30" s="81" t="n">
        <f aca="false">+B30/$H$4</f>
        <v>7809.88086642599</v>
      </c>
      <c r="D30" s="32" t="n">
        <f aca="false">+transcol!A43</f>
        <v>37132</v>
      </c>
      <c r="E30" s="28" t="s">
        <v>100</v>
      </c>
      <c r="F30" s="28" t="s">
        <v>35</v>
      </c>
      <c r="G30" s="5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78" t="s">
        <v>58</v>
      </c>
      <c r="B31" s="29" t="n">
        <f aca="false">+SidR!D41</f>
        <v>16213.65</v>
      </c>
      <c r="C31" s="27" t="n">
        <f aca="false">+B31/$H$4</f>
        <v>5853.30324909747</v>
      </c>
      <c r="D31" s="35" t="n">
        <f aca="false">+SidR!A41</f>
        <v>37132</v>
      </c>
      <c r="E31" s="9" t="s">
        <v>100</v>
      </c>
      <c r="F31" s="9" t="s">
        <v>54</v>
      </c>
      <c r="G31" s="9" t="s">
        <v>103</v>
      </c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5" hidden="false" customHeight="true" outlineLevel="0" collapsed="false">
      <c r="A32" s="77" t="s">
        <v>36</v>
      </c>
      <c r="B32" s="36" t="n">
        <f aca="false">+burlington!D42</f>
        <v>7764.54</v>
      </c>
      <c r="C32" s="47" t="n">
        <f aca="false">+B32/$H$3</f>
        <v>2974.91954022989</v>
      </c>
      <c r="D32" s="32" t="n">
        <f aca="false">+burlington!A42</f>
        <v>37132</v>
      </c>
      <c r="E32" s="28" t="s">
        <v>100</v>
      </c>
      <c r="F32" s="9" t="s">
        <v>37</v>
      </c>
      <c r="G32" s="9" t="s">
        <v>38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8" hidden="false" customHeight="true" outlineLevel="0" collapsed="false">
      <c r="A33" s="9" t="s">
        <v>104</v>
      </c>
      <c r="B33" s="16" t="n">
        <f aca="false">SUM(B8:B32)</f>
        <v>6914683.76</v>
      </c>
      <c r="C33" s="27" t="n">
        <f aca="false">SUM(C8:C32)</f>
        <v>2529872.7751359</v>
      </c>
      <c r="D33" s="33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5" hidden="false" customHeight="true" outlineLevel="0" collapsed="false">
      <c r="A34" s="9"/>
      <c r="B34" s="16"/>
      <c r="C34" s="27"/>
      <c r="D34" s="33"/>
      <c r="E34" s="9"/>
      <c r="F34" s="82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72" t="s">
        <v>12</v>
      </c>
      <c r="B35" s="73" t="s">
        <v>97</v>
      </c>
      <c r="C35" s="74" t="s">
        <v>15</v>
      </c>
      <c r="D35" s="83" t="s">
        <v>17</v>
      </c>
      <c r="E35" s="72" t="s">
        <v>98</v>
      </c>
      <c r="F35" s="76" t="s">
        <v>19</v>
      </c>
      <c r="G35" s="72" t="s">
        <v>20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2.95" hidden="false" customHeight="true" outlineLevel="0" collapsed="false">
      <c r="A36" s="77" t="s">
        <v>29</v>
      </c>
      <c r="B36" s="29" t="n">
        <f aca="false">+Citizens!D18</f>
        <v>-774224.01</v>
      </c>
      <c r="C36" s="30" t="n">
        <f aca="false">+B36/$H$4</f>
        <v>-279503.252707581</v>
      </c>
      <c r="D36" s="32" t="n">
        <f aca="false">+Citizens!A18</f>
        <v>37132</v>
      </c>
      <c r="E36" s="28" t="s">
        <v>100</v>
      </c>
      <c r="F36" s="28" t="s">
        <v>23</v>
      </c>
      <c r="G36" s="34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8" t="s">
        <v>26</v>
      </c>
      <c r="B37" s="29" t="n">
        <f aca="false">+'NS Steel'!D41</f>
        <v>-423403.93</v>
      </c>
      <c r="C37" s="30" t="n">
        <f aca="false">+B37/$H$4</f>
        <v>-152853.40433213</v>
      </c>
      <c r="D37" s="35" t="n">
        <f aca="false">+'NS Steel'!A41</f>
        <v>37132</v>
      </c>
      <c r="E37" s="9" t="s">
        <v>100</v>
      </c>
      <c r="F37" s="9" t="s">
        <v>27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8" t="s">
        <v>24</v>
      </c>
      <c r="B38" s="29" t="n">
        <f aca="false">+'Citizens-Griffith'!D41</f>
        <v>-211520.77</v>
      </c>
      <c r="C38" s="27" t="n">
        <f aca="false">+B38/$H$4</f>
        <v>-76361.2888086643</v>
      </c>
      <c r="D38" s="32" t="n">
        <f aca="false">+'Citizens-Griffith'!A41</f>
        <v>37132</v>
      </c>
      <c r="E38" s="9" t="s">
        <v>100</v>
      </c>
      <c r="F38" s="9" t="s">
        <v>23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7" t="s">
        <v>61</v>
      </c>
      <c r="B39" s="29" t="n">
        <f aca="false">+Agave!$D$24</f>
        <v>-88529.63</v>
      </c>
      <c r="C39" s="30" t="n">
        <f aca="false">+B39/$H$4</f>
        <v>-31960.155234657</v>
      </c>
      <c r="D39" s="32" t="n">
        <f aca="false">+Agave!A24</f>
        <v>37132</v>
      </c>
      <c r="E39" s="28" t="s">
        <v>100</v>
      </c>
      <c r="F39" s="28" t="s">
        <v>54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3.5" hidden="false" customHeight="true" outlineLevel="0" collapsed="false">
      <c r="A40" s="78" t="s">
        <v>60</v>
      </c>
      <c r="B40" s="29" t="n">
        <f aca="false">+EPFS!D41</f>
        <v>-45314</v>
      </c>
      <c r="C40" s="30" t="n">
        <f aca="false">+B40/$H$5</f>
        <v>-15899.649122807</v>
      </c>
      <c r="D40" s="32" t="n">
        <f aca="false">+EPFS!A41</f>
        <v>37132</v>
      </c>
      <c r="E40" s="9" t="s">
        <v>100</v>
      </c>
      <c r="F40" s="9" t="s">
        <v>54</v>
      </c>
      <c r="G40" s="9"/>
      <c r="H40" s="2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8" t="s">
        <v>105</v>
      </c>
      <c r="B41" s="29" t="n">
        <f aca="false">+'El Paso'!C39*summary!H4+'El Paso'!E39*summary!H3</f>
        <v>-10440.17</v>
      </c>
      <c r="C41" s="27" t="n">
        <f aca="false">+'El Paso'!H39</f>
        <v>-7933</v>
      </c>
      <c r="D41" s="35" t="n">
        <f aca="false">+'El Paso'!A39</f>
        <v>37132</v>
      </c>
      <c r="E41" s="9" t="s">
        <v>99</v>
      </c>
      <c r="F41" s="9" t="s">
        <v>27</v>
      </c>
      <c r="G41" s="9" t="s">
        <v>106</v>
      </c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8" t="s">
        <v>59</v>
      </c>
      <c r="B42" s="36" t="n">
        <f aca="false">+Continental!F43</f>
        <v>-5216.57</v>
      </c>
      <c r="C42" s="37" t="n">
        <f aca="false">+B42/$H$4</f>
        <v>-1883.23826714801</v>
      </c>
      <c r="D42" s="35" t="n">
        <f aca="false">+Continental!A43</f>
        <v>37130</v>
      </c>
      <c r="E42" s="9" t="s">
        <v>100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SUM(B36:B42)</f>
        <v>-1558649.08</v>
      </c>
      <c r="C43" s="30" t="n">
        <f aca="false">SUM(C36:C42)</f>
        <v>-566393.988472988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4" t="n">
        <f aca="false">+B43+B33</f>
        <v>5356034.68</v>
      </c>
      <c r="C45" s="85" t="n">
        <f aca="false">+C43+C33</f>
        <v>1963478.78666291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3" sqref="B7 C10 A23 A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2"/>
      <c r="D4" s="27"/>
    </row>
    <row r="5" customFormat="false" ht="11.25" hidden="false" customHeight="false" outlineLevel="0" collapsed="false">
      <c r="B5" s="363" t="s">
        <v>115</v>
      </c>
      <c r="C5" s="363" t="s">
        <v>116</v>
      </c>
      <c r="D5" s="364" t="s">
        <v>118</v>
      </c>
    </row>
    <row r="6" customFormat="false" ht="11.25" hidden="false" customHeight="false" outlineLevel="0" collapsed="false">
      <c r="A6" s="9" t="n">
        <v>1635</v>
      </c>
      <c r="B6" s="365" t="n">
        <v>-1797</v>
      </c>
      <c r="C6" s="27"/>
      <c r="D6" s="27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6" t="n">
        <v>-782776</v>
      </c>
      <c r="C7" s="27" t="n">
        <v>-388527</v>
      </c>
      <c r="D7" s="27" t="n">
        <f aca="false">+C7-B7</f>
        <v>394249</v>
      </c>
    </row>
    <row r="8" customFormat="false" ht="11.25" hidden="false" customHeight="false" outlineLevel="0" collapsed="false">
      <c r="A8" s="9" t="n">
        <v>60667</v>
      </c>
      <c r="B8" s="366" t="n">
        <v>-477505</v>
      </c>
      <c r="C8" s="27" t="n">
        <v>-11026</v>
      </c>
      <c r="D8" s="27" t="n">
        <f aca="false">+C8-B8</f>
        <v>466479</v>
      </c>
      <c r="H8" s="202"/>
    </row>
    <row r="9" customFormat="false" ht="11.25" hidden="false" customHeight="false" outlineLevel="0" collapsed="false">
      <c r="A9" s="9" t="n">
        <v>60749</v>
      </c>
      <c r="B9" s="366" t="n">
        <v>1178403</v>
      </c>
      <c r="C9" s="27" t="n">
        <v>151885</v>
      </c>
      <c r="D9" s="27" t="n">
        <f aca="false">+C9-B9</f>
        <v>-1026518</v>
      </c>
      <c r="H9" s="202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6" t="n">
        <v>-25143</v>
      </c>
      <c r="C11" s="27"/>
      <c r="D11" s="27" t="n">
        <f aca="false">+C11-B11</f>
        <v>25143</v>
      </c>
      <c r="H11" s="202"/>
    </row>
    <row r="12" customFormat="false" ht="11.25" hidden="false" customHeight="false" outlineLevel="0" collapsed="false">
      <c r="A12" s="9" t="n">
        <v>62960</v>
      </c>
      <c r="B12" s="366"/>
      <c r="C12" s="27"/>
      <c r="D12" s="27" t="n">
        <f aca="false">+C12-B12</f>
        <v>0</v>
      </c>
      <c r="H12" s="202"/>
    </row>
    <row r="13" customFormat="false" ht="11.25" hidden="false" customHeight="false" outlineLevel="0" collapsed="false">
      <c r="A13" s="367"/>
      <c r="B13" s="27"/>
      <c r="C13" s="27"/>
      <c r="D13" s="27" t="n">
        <f aca="false">+C13-B13</f>
        <v>0</v>
      </c>
      <c r="H13" s="202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2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-138850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02" t="n">
        <f aca="false">+summary!H4</f>
        <v>2.77</v>
      </c>
    </row>
    <row r="20" customFormat="false" ht="11.25" hidden="false" customHeight="false" outlineLevel="0" collapsed="false">
      <c r="B20" s="27"/>
      <c r="C20" s="27"/>
      <c r="D20" s="111" t="n">
        <f aca="false">+D19*D18</f>
        <v>-384614.5</v>
      </c>
    </row>
    <row r="21" customFormat="false" ht="11.25" hidden="false" customHeight="false" outlineLevel="0" collapsed="false">
      <c r="B21" s="27"/>
      <c r="C21" s="27"/>
      <c r="D21" s="111"/>
      <c r="E21" s="202"/>
    </row>
    <row r="22" customFormat="false" ht="11.25" hidden="false" customHeight="false" outlineLevel="0" collapsed="false">
      <c r="A22" s="124" t="n">
        <v>37103</v>
      </c>
      <c r="B22" s="27"/>
      <c r="C22" s="27"/>
      <c r="D22" s="368" t="n">
        <v>704039.33</v>
      </c>
      <c r="E22" s="202"/>
    </row>
    <row r="23" customFormat="false" ht="11.25" hidden="false" customHeight="false" outlineLevel="0" collapsed="false">
      <c r="B23" s="27"/>
      <c r="C23" s="27"/>
      <c r="D23" s="111"/>
      <c r="E23" s="202"/>
    </row>
    <row r="24" customFormat="false" ht="12" hidden="false" customHeight="false" outlineLevel="0" collapsed="false">
      <c r="A24" s="124" t="n">
        <v>37132</v>
      </c>
      <c r="B24" s="27"/>
      <c r="C24" s="27"/>
      <c r="D24" s="369" t="n">
        <f aca="false">+D22+D20</f>
        <v>319424.83</v>
      </c>
      <c r="E24" s="202"/>
    </row>
    <row r="25" customFormat="false" ht="12" hidden="false" customHeight="false" outlineLevel="0" collapsed="false">
      <c r="B25" s="27"/>
      <c r="C25" s="27"/>
      <c r="D25" s="27"/>
      <c r="E25" s="202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4" t="n">
        <f aca="false">+A22</f>
        <v>37103</v>
      </c>
      <c r="D32" s="301" t="n">
        <v>80036</v>
      </c>
    </row>
    <row r="33" customFormat="false" ht="11.25" hidden="false" customHeight="false" outlineLevel="0" collapsed="false">
      <c r="A33" s="124" t="n">
        <f aca="false">+A24</f>
        <v>37132</v>
      </c>
      <c r="D33" s="37" t="n">
        <f aca="false">+D18</f>
        <v>-138850</v>
      </c>
    </row>
    <row r="34" customFormat="false" ht="11.25" hidden="false" customHeight="false" outlineLevel="0" collapsed="false">
      <c r="D34" s="30" t="n">
        <f aca="false">+D33+D32</f>
        <v>-58814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24" activeCellId="3" sqref="B13 B13 B5 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190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9236</v>
      </c>
      <c r="B5" s="370" t="n">
        <v>-59623</v>
      </c>
      <c r="C5" s="280" t="n">
        <v>-33380</v>
      </c>
      <c r="D5" s="280" t="n">
        <f aca="false">+C5-B5</f>
        <v>26243</v>
      </c>
      <c r="E5" s="27"/>
      <c r="F5" s="31"/>
    </row>
    <row r="6" customFormat="false" ht="12.75" hidden="false" customHeight="false" outlineLevel="0" collapsed="false">
      <c r="A6" s="282" t="n">
        <v>9238</v>
      </c>
      <c r="B6" s="287"/>
      <c r="C6" s="280"/>
      <c r="D6" s="280" t="n">
        <f aca="false">+C6-B6</f>
        <v>0</v>
      </c>
      <c r="E6" s="27"/>
      <c r="F6" s="31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70" t="n">
        <v>-3278474</v>
      </c>
      <c r="C7" s="280" t="n">
        <v>-3358891</v>
      </c>
      <c r="D7" s="280" t="n">
        <f aca="false">+C7-B7</f>
        <v>-80417</v>
      </c>
      <c r="E7" s="27"/>
      <c r="F7" s="31"/>
    </row>
    <row r="8" customFormat="false" ht="12.75" hidden="false" customHeight="false" outlineLevel="0" collapsed="false">
      <c r="A8" s="282" t="n">
        <v>58710</v>
      </c>
      <c r="B8" s="370" t="n">
        <v>-22844</v>
      </c>
      <c r="C8" s="280" t="n">
        <v>-1269</v>
      </c>
      <c r="D8" s="280" t="n">
        <f aca="false">+C8-B8</f>
        <v>21575</v>
      </c>
      <c r="E8" s="27"/>
      <c r="F8" s="31"/>
    </row>
    <row r="9" customFormat="false" ht="12.75" hidden="false" customHeight="false" outlineLevel="0" collapsed="false">
      <c r="A9" s="282" t="n">
        <v>60921</v>
      </c>
      <c r="B9" s="287" t="n">
        <v>2874626</v>
      </c>
      <c r="C9" s="280" t="n">
        <v>2787027</v>
      </c>
      <c r="D9" s="280" t="n">
        <f aca="false">+C9-B9</f>
        <v>-87599</v>
      </c>
      <c r="E9" s="27"/>
      <c r="F9" s="31"/>
    </row>
    <row r="10" customFormat="false" ht="12.75" hidden="false" customHeight="false" outlineLevel="0" collapsed="false">
      <c r="A10" s="282" t="n">
        <v>78026</v>
      </c>
      <c r="B10" s="370"/>
      <c r="C10" s="280" t="n">
        <v>68800</v>
      </c>
      <c r="D10" s="280" t="n">
        <f aca="false">+C10-B10</f>
        <v>68800</v>
      </c>
      <c r="E10" s="27"/>
      <c r="F10" s="285"/>
    </row>
    <row r="11" customFormat="false" ht="12.75" hidden="false" customHeight="false" outlineLevel="0" collapsed="false">
      <c r="A11" s="282" t="n">
        <v>500084</v>
      </c>
      <c r="B11" s="370" t="n">
        <v>-20590</v>
      </c>
      <c r="C11" s="280" t="n">
        <v>-27000</v>
      </c>
      <c r="D11" s="280" t="n">
        <f aca="false">+C11-B11</f>
        <v>-6410</v>
      </c>
      <c r="E11" s="289"/>
      <c r="F11" s="285"/>
    </row>
    <row r="12" customFormat="false" ht="12.75" hidden="false" customHeight="false" outlineLevel="0" collapsed="false">
      <c r="A12" s="371" t="n">
        <v>500085</v>
      </c>
      <c r="B12" s="370"/>
      <c r="C12" s="280"/>
      <c r="D12" s="280" t="n">
        <f aca="false">+C12-B12</f>
        <v>0</v>
      </c>
      <c r="E12" s="27"/>
      <c r="F12" s="285"/>
    </row>
    <row r="13" customFormat="false" ht="12.75" hidden="false" customHeight="false" outlineLevel="0" collapsed="false">
      <c r="A13" s="282" t="n">
        <v>500097</v>
      </c>
      <c r="B13" s="372" t="n">
        <v>-507</v>
      </c>
      <c r="C13" s="280"/>
      <c r="D13" s="280" t="n">
        <f aca="false">+C13-B13</f>
        <v>507</v>
      </c>
      <c r="E13" s="27"/>
      <c r="F13" s="285"/>
    </row>
    <row r="14" customFormat="false" ht="12.75" hidden="false" customHeight="false" outlineLevel="0" collapsed="false">
      <c r="A14" s="282"/>
      <c r="B14" s="280"/>
      <c r="C14" s="280"/>
      <c r="D14" s="280"/>
      <c r="E14" s="27"/>
      <c r="F14" s="285"/>
    </row>
    <row r="15" customFormat="false" ht="12.75" hidden="false" customHeight="false" outlineLevel="0" collapsed="false">
      <c r="A15" s="282"/>
      <c r="B15" s="280"/>
      <c r="C15" s="280"/>
      <c r="D15" s="280"/>
      <c r="E15" s="27"/>
      <c r="F15" s="285"/>
    </row>
    <row r="16" customFormat="false" ht="12.75" hidden="false" customHeight="false" outlineLevel="0" collapsed="false">
      <c r="A16" s="282"/>
      <c r="B16" s="280"/>
      <c r="C16" s="280"/>
      <c r="D16" s="291"/>
      <c r="E16" s="27"/>
      <c r="F16" s="285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-57301</v>
      </c>
      <c r="E17" s="27"/>
      <c r="F17" s="285"/>
    </row>
    <row r="18" customFormat="false" ht="12.75" hidden="false" customHeight="false" outlineLevel="0" collapsed="false">
      <c r="A18" s="282" t="s">
        <v>167</v>
      </c>
      <c r="B18" s="280"/>
      <c r="C18" s="280"/>
      <c r="D18" s="292" t="n">
        <f aca="false">+summary!H4</f>
        <v>2.77</v>
      </c>
      <c r="E18" s="293"/>
      <c r="F18" s="285"/>
    </row>
    <row r="19" customFormat="false" ht="12.75" hidden="false" customHeight="false" outlineLevel="0" collapsed="false">
      <c r="A19" s="282"/>
      <c r="B19" s="280"/>
      <c r="C19" s="280"/>
      <c r="D19" s="294" t="n">
        <f aca="false">+D18*D17</f>
        <v>-158723.77</v>
      </c>
      <c r="E19" s="111"/>
      <c r="F19" s="295"/>
    </row>
    <row r="20" customFormat="false" ht="12.75" hidden="false" customHeight="false" outlineLevel="0" collapsed="false">
      <c r="A20" s="282"/>
      <c r="B20" s="280"/>
      <c r="C20" s="280"/>
      <c r="D20" s="294"/>
      <c r="E20" s="111"/>
      <c r="F20" s="295"/>
    </row>
    <row r="21" customFormat="false" ht="12.75" hidden="false" customHeight="false" outlineLevel="0" collapsed="false">
      <c r="A21" s="296" t="n">
        <v>37103</v>
      </c>
      <c r="B21" s="280"/>
      <c r="C21" s="280"/>
      <c r="D21" s="297" t="n">
        <v>296780.47</v>
      </c>
      <c r="E21" s="111"/>
      <c r="F21" s="298"/>
    </row>
    <row r="22" customFormat="false" ht="12.75" hidden="false" customHeight="false" outlineLevel="0" collapsed="false">
      <c r="A22" s="282"/>
      <c r="B22" s="280"/>
      <c r="C22" s="280"/>
      <c r="D22" s="294"/>
      <c r="E22" s="111"/>
      <c r="F22" s="298"/>
    </row>
    <row r="23" customFormat="false" ht="13.5" hidden="false" customHeight="false" outlineLevel="0" collapsed="false">
      <c r="A23" s="296" t="n">
        <v>37132</v>
      </c>
      <c r="B23" s="280"/>
      <c r="C23" s="280"/>
      <c r="D23" s="299" t="n">
        <f aca="false">+D21+D19</f>
        <v>138056.7</v>
      </c>
      <c r="E23" s="111"/>
      <c r="F23" s="298"/>
    </row>
    <row r="24" customFormat="false" ht="13.5" hidden="false" customHeight="false" outlineLevel="0" collapsed="false">
      <c r="E24" s="300"/>
    </row>
    <row r="25" customFormat="false" ht="12.75" hidden="false" customHeight="false" outlineLevel="0" collapsed="false">
      <c r="E25" s="300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37103</v>
      </c>
      <c r="B28" s="9"/>
      <c r="C28" s="9"/>
      <c r="D28" s="301" t="n">
        <v>67620</v>
      </c>
    </row>
    <row r="29" customFormat="false" ht="12.75" hidden="false" customHeight="false" outlineLevel="0" collapsed="false">
      <c r="A29" s="124" t="n">
        <v>37114</v>
      </c>
      <c r="B29" s="9"/>
      <c r="C29" s="9"/>
      <c r="D29" s="37" t="n">
        <f aca="false">+D17</f>
        <v>-57301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10319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5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5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5"/>
      <c r="G46" s="28"/>
    </row>
    <row r="47" customFormat="false" ht="12.75" hidden="false" customHeight="false" outlineLevel="0" collapsed="false">
      <c r="A47" s="9"/>
      <c r="B47" s="27"/>
      <c r="C47" s="27"/>
      <c r="D47" s="293"/>
      <c r="E47" s="293"/>
      <c r="F47" s="285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5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28"/>
    </row>
    <row r="50" customFormat="false" ht="12.75" hidden="false" customHeight="false" outlineLevel="0" collapsed="false">
      <c r="E50" s="3"/>
      <c r="F50" s="298"/>
      <c r="G50" s="59"/>
    </row>
    <row r="51" customFormat="false" ht="12.75" hidden="false" customHeight="false" outlineLevel="0" collapsed="false">
      <c r="A51" s="9"/>
      <c r="E51" s="3"/>
      <c r="F51" s="298"/>
    </row>
    <row r="52" customFormat="false" ht="12.75" hidden="false" customHeight="false" outlineLevel="0" collapsed="false">
      <c r="A52" s="9"/>
      <c r="E52" s="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2.75" hidden="false" customHeight="false" outlineLevel="0" collapsed="false">
      <c r="A55" s="9"/>
      <c r="E55" s="300"/>
      <c r="F55" s="300"/>
    </row>
    <row r="56" customFormat="false" ht="12.75" hidden="false" customHeight="false" outlineLevel="0" collapsed="false">
      <c r="E56" s="300"/>
      <c r="F56" s="300"/>
    </row>
    <row r="57" customFormat="false" ht="12.75" hidden="false" customHeight="false" outlineLevel="0" collapsed="false">
      <c r="E57" s="300"/>
      <c r="F57" s="300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2"/>
      <c r="E97" s="302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5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A100" s="9"/>
      <c r="D100" s="303"/>
      <c r="E100" s="303"/>
      <c r="F100" s="298"/>
    </row>
    <row r="101" customFormat="false" ht="12.75" hidden="false" customHeight="false" outlineLevel="0" collapsed="false">
      <c r="A101" s="9"/>
      <c r="E101" s="3"/>
      <c r="F101" s="298"/>
    </row>
    <row r="102" customFormat="false" ht="13.5" hidden="false" customHeight="false" outlineLevel="0" collapsed="false">
      <c r="A102" s="9"/>
      <c r="D102" s="304"/>
      <c r="E102" s="304"/>
      <c r="F102" s="29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2"/>
      <c r="E123" s="302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5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A126" s="9"/>
      <c r="D126" s="305"/>
      <c r="E126" s="305"/>
      <c r="F126" s="298"/>
    </row>
    <row r="127" customFormat="false" ht="12.75" hidden="false" customHeight="false" outlineLevel="0" collapsed="false">
      <c r="A127" s="9"/>
      <c r="D127" s="111"/>
      <c r="E127" s="111"/>
      <c r="F127" s="298"/>
    </row>
    <row r="128" customFormat="false" ht="13.5" hidden="false" customHeight="false" outlineLevel="0" collapsed="false">
      <c r="A128" s="9"/>
      <c r="D128" s="306"/>
      <c r="E128" s="306"/>
      <c r="F128" s="29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2"/>
      <c r="E148" s="302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5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A151" s="9"/>
      <c r="D151" s="305"/>
      <c r="E151" s="305"/>
      <c r="F151" s="298"/>
    </row>
    <row r="152" customFormat="false" ht="12.75" hidden="false" customHeight="false" outlineLevel="0" collapsed="false">
      <c r="A152" s="9"/>
      <c r="D152" s="111"/>
      <c r="E152" s="111"/>
      <c r="F152" s="298"/>
    </row>
    <row r="153" customFormat="false" ht="13.5" hidden="false" customHeight="false" outlineLevel="0" collapsed="false">
      <c r="A153" s="9"/>
      <c r="D153" s="306"/>
      <c r="E153" s="306"/>
      <c r="F153" s="29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0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0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2"/>
      <c r="E173" s="302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5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A176" s="9"/>
      <c r="D176" s="305"/>
      <c r="E176" s="305"/>
      <c r="F176" s="298"/>
    </row>
    <row r="177" customFormat="false" ht="12.75" hidden="false" customHeight="false" outlineLevel="0" collapsed="false">
      <c r="A177" s="9"/>
      <c r="D177" s="111"/>
      <c r="E177" s="111"/>
      <c r="F177" s="298"/>
    </row>
    <row r="178" customFormat="false" ht="13.5" hidden="false" customHeight="false" outlineLevel="0" collapsed="false">
      <c r="A178" s="9"/>
      <c r="D178" s="306"/>
      <c r="E178" s="306"/>
      <c r="F178" s="29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07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08"/>
      <c r="B190" s="309"/>
      <c r="C190" s="309"/>
      <c r="D190" s="309"/>
      <c r="E190" s="309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0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2"/>
      <c r="E197" s="302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5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A200" s="9"/>
      <c r="D200" s="305"/>
      <c r="E200" s="305"/>
      <c r="F200" s="298"/>
    </row>
    <row r="201" customFormat="false" ht="12.75" hidden="false" customHeight="false" outlineLevel="0" collapsed="false">
      <c r="A201" s="9"/>
      <c r="D201" s="111"/>
      <c r="E201" s="111"/>
      <c r="F201" s="298"/>
    </row>
    <row r="202" customFormat="false" ht="13.5" hidden="false" customHeight="false" outlineLevel="0" collapsed="false">
      <c r="A202" s="9"/>
      <c r="D202" s="310"/>
      <c r="E202" s="306"/>
      <c r="F202" s="29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07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08"/>
      <c r="B216" s="309"/>
      <c r="C216" s="309"/>
      <c r="D216" s="309"/>
      <c r="E216" s="309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0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2"/>
      <c r="E223" s="302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5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A226" s="9"/>
      <c r="D226" s="305"/>
      <c r="E226" s="305"/>
      <c r="F226" s="298"/>
    </row>
    <row r="227" customFormat="false" ht="12.75" hidden="false" customHeight="false" outlineLevel="0" collapsed="false">
      <c r="A227" s="9"/>
      <c r="D227" s="111"/>
      <c r="E227" s="111"/>
      <c r="F227" s="298"/>
    </row>
    <row r="228" customFormat="false" ht="13.5" hidden="false" customHeight="false" outlineLevel="0" collapsed="false">
      <c r="A228" s="9"/>
      <c r="D228" s="310"/>
      <c r="E228" s="306"/>
      <c r="F228" s="29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07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1"/>
      <c r="B240" s="289"/>
      <c r="C240" s="289"/>
      <c r="D240" s="289"/>
      <c r="E240" s="289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0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2"/>
      <c r="E247" s="302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5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A250" s="9"/>
      <c r="D250" s="305"/>
      <c r="E250" s="305"/>
      <c r="F250" s="298"/>
    </row>
    <row r="251" customFormat="false" ht="12.75" hidden="false" customHeight="false" outlineLevel="0" collapsed="false">
      <c r="A251" s="9"/>
      <c r="D251" s="111"/>
      <c r="E251" s="111"/>
      <c r="F251" s="298"/>
    </row>
    <row r="252" customFormat="false" ht="13.5" hidden="false" customHeight="false" outlineLevel="0" collapsed="false">
      <c r="A252" s="9"/>
      <c r="D252" s="312"/>
      <c r="E252" s="306"/>
      <c r="F252" s="29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313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280"/>
      <c r="C263" s="280"/>
      <c r="D263" s="280"/>
      <c r="E263" s="27"/>
      <c r="F263" s="31"/>
    </row>
    <row r="264" customFormat="false" ht="12.75" hidden="false" customHeight="false" outlineLevel="0" collapsed="false">
      <c r="A264" s="288"/>
      <c r="B264" s="314"/>
      <c r="C264" s="314"/>
      <c r="D264" s="314"/>
      <c r="E264" s="289"/>
      <c r="F264" s="31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313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91"/>
      <c r="E269" s="47"/>
      <c r="F269" s="38"/>
    </row>
    <row r="270" customFormat="false" ht="12.75" hidden="false" customHeight="false" outlineLevel="0" collapsed="false">
      <c r="A270" s="282"/>
      <c r="B270" s="280"/>
      <c r="C270" s="280"/>
      <c r="D270" s="280"/>
      <c r="E270" s="27"/>
      <c r="F270" s="31"/>
    </row>
    <row r="271" customFormat="false" ht="12.75" hidden="false" customHeight="false" outlineLevel="0" collapsed="false">
      <c r="A271" s="282"/>
      <c r="B271" s="280"/>
      <c r="C271" s="280"/>
      <c r="D271" s="292"/>
      <c r="E271" s="302"/>
      <c r="F271" s="31"/>
    </row>
    <row r="272" customFormat="false" ht="12.75" hidden="false" customHeight="false" outlineLevel="0" collapsed="false">
      <c r="A272" s="282"/>
      <c r="B272" s="280"/>
      <c r="C272" s="280"/>
      <c r="D272" s="294"/>
      <c r="E272" s="111"/>
      <c r="F272" s="295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315"/>
      <c r="E274" s="305"/>
      <c r="F274" s="298"/>
    </row>
    <row r="275" customFormat="false" ht="12.75" hidden="false" customHeight="false" outlineLevel="0" collapsed="false">
      <c r="A275" s="282"/>
      <c r="B275" s="280"/>
      <c r="C275" s="280"/>
      <c r="D275" s="294"/>
      <c r="E275" s="111"/>
      <c r="F275" s="298"/>
    </row>
    <row r="276" customFormat="false" ht="13.5" hidden="false" customHeight="false" outlineLevel="0" collapsed="false">
      <c r="A276" s="282"/>
      <c r="B276" s="280"/>
      <c r="C276" s="280"/>
      <c r="D276" s="316"/>
      <c r="E276" s="306"/>
      <c r="F276" s="29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313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280"/>
      <c r="C288" s="280"/>
      <c r="D288" s="280"/>
      <c r="E288" s="27"/>
      <c r="F288" s="31"/>
    </row>
    <row r="289" customFormat="false" ht="12.75" hidden="false" customHeight="false" outlineLevel="0" collapsed="false">
      <c r="A289" s="288"/>
      <c r="B289" s="314"/>
      <c r="C289" s="314"/>
      <c r="D289" s="314"/>
      <c r="E289" s="289"/>
      <c r="F289" s="31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313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91"/>
      <c r="E294" s="47"/>
      <c r="F294" s="38"/>
    </row>
    <row r="295" customFormat="false" ht="12.75" hidden="false" customHeight="false" outlineLevel="0" collapsed="false">
      <c r="A295" s="282"/>
      <c r="B295" s="280"/>
      <c r="C295" s="280"/>
      <c r="D295" s="280"/>
      <c r="E295" s="27"/>
      <c r="F295" s="31"/>
    </row>
    <row r="296" customFormat="false" ht="12.75" hidden="false" customHeight="false" outlineLevel="0" collapsed="false">
      <c r="A296" s="282"/>
      <c r="B296" s="280"/>
      <c r="C296" s="280"/>
      <c r="D296" s="292"/>
      <c r="E296" s="302"/>
      <c r="F296" s="31"/>
    </row>
    <row r="297" customFormat="false" ht="12.75" hidden="false" customHeight="false" outlineLevel="0" collapsed="false">
      <c r="A297" s="282"/>
      <c r="B297" s="280"/>
      <c r="C297" s="280"/>
      <c r="D297" s="294"/>
      <c r="E297" s="111"/>
      <c r="F297" s="295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96"/>
      <c r="B299" s="280"/>
      <c r="C299" s="280"/>
      <c r="D299" s="315"/>
      <c r="E299" s="305"/>
      <c r="F299" s="298"/>
    </row>
    <row r="300" customFormat="false" ht="12.75" hidden="false" customHeight="false" outlineLevel="0" collapsed="false">
      <c r="A300" s="282"/>
      <c r="B300" s="280"/>
      <c r="C300" s="280"/>
      <c r="D300" s="294"/>
      <c r="E300" s="111"/>
      <c r="F300" s="298"/>
    </row>
    <row r="301" customFormat="false" ht="13.5" hidden="false" customHeight="false" outlineLevel="0" collapsed="false">
      <c r="A301" s="282"/>
      <c r="B301" s="280"/>
      <c r="C301" s="280"/>
      <c r="D301" s="316"/>
      <c r="E301" s="306"/>
      <c r="F301" s="29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313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280"/>
      <c r="C315" s="280"/>
      <c r="D315" s="280"/>
      <c r="E315" s="27"/>
      <c r="F315" s="31"/>
    </row>
    <row r="316" customFormat="false" ht="12.75" hidden="false" customHeight="false" outlineLevel="0" collapsed="false">
      <c r="A316" s="288"/>
      <c r="B316" s="314"/>
      <c r="C316" s="314"/>
      <c r="D316" s="314"/>
      <c r="E316" s="289"/>
      <c r="F316" s="31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313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91"/>
      <c r="E321" s="47"/>
      <c r="F321" s="38"/>
    </row>
    <row r="322" customFormat="false" ht="12.75" hidden="false" customHeight="false" outlineLevel="0" collapsed="false">
      <c r="A322" s="282"/>
      <c r="B322" s="280"/>
      <c r="C322" s="280"/>
      <c r="D322" s="280"/>
      <c r="E322" s="27"/>
      <c r="F322" s="31"/>
    </row>
    <row r="323" customFormat="false" ht="12.75" hidden="false" customHeight="false" outlineLevel="0" collapsed="false">
      <c r="A323" s="282"/>
      <c r="B323" s="280"/>
      <c r="C323" s="280"/>
      <c r="D323" s="292"/>
      <c r="E323" s="302"/>
      <c r="F323" s="31"/>
    </row>
    <row r="324" customFormat="false" ht="12.75" hidden="false" customHeight="false" outlineLevel="0" collapsed="false">
      <c r="A324" s="282"/>
      <c r="B324" s="280"/>
      <c r="C324" s="280"/>
      <c r="D324" s="294"/>
      <c r="E324" s="111"/>
      <c r="F324" s="295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96"/>
      <c r="B326" s="280"/>
      <c r="C326" s="280"/>
      <c r="D326" s="315"/>
      <c r="E326" s="305"/>
      <c r="F326" s="298"/>
    </row>
    <row r="327" customFormat="false" ht="12.75" hidden="false" customHeight="false" outlineLevel="0" collapsed="false">
      <c r="A327" s="282"/>
      <c r="B327" s="280"/>
      <c r="C327" s="280"/>
      <c r="D327" s="294"/>
      <c r="E327" s="111"/>
      <c r="F327" s="298"/>
    </row>
    <row r="328" customFormat="false" ht="13.5" hidden="false" customHeight="false" outlineLevel="0" collapsed="false">
      <c r="A328" s="282"/>
      <c r="B328" s="280"/>
      <c r="C328" s="280"/>
      <c r="D328" s="316"/>
      <c r="E328" s="306"/>
      <c r="F328" s="29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39" activeCellId="0" sqref="A39 B32 C40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115</v>
      </c>
      <c r="C2" s="283" t="s">
        <v>116</v>
      </c>
      <c r="D2" s="283" t="s">
        <v>115</v>
      </c>
      <c r="E2" s="283" t="s">
        <v>116</v>
      </c>
      <c r="F2" s="284" t="s">
        <v>118</v>
      </c>
    </row>
    <row r="3" customFormat="false" ht="12.75" hidden="false" customHeight="false" outlineLevel="0" collapsed="false">
      <c r="A3" s="0" t="n">
        <v>1</v>
      </c>
      <c r="B3" s="280" t="n">
        <v>53256</v>
      </c>
      <c r="C3" s="280" t="n">
        <v>50455</v>
      </c>
      <c r="D3" s="280"/>
      <c r="E3" s="280"/>
      <c r="F3" s="280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80" t="n">
        <v>35225</v>
      </c>
      <c r="C4" s="280" t="n">
        <v>42864</v>
      </c>
      <c r="D4" s="280"/>
      <c r="E4" s="280"/>
      <c r="F4" s="280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80" t="n">
        <v>9749</v>
      </c>
      <c r="C5" s="280" t="n">
        <v>31925</v>
      </c>
      <c r="D5" s="280"/>
      <c r="E5" s="280"/>
      <c r="F5" s="280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80" t="n">
        <v>13680</v>
      </c>
      <c r="C6" s="280" t="n">
        <v>13148</v>
      </c>
      <c r="D6" s="280"/>
      <c r="E6" s="280"/>
      <c r="F6" s="280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80" t="n">
        <v>39257</v>
      </c>
      <c r="C7" s="280" t="n">
        <v>39446</v>
      </c>
      <c r="D7" s="280"/>
      <c r="E7" s="280"/>
      <c r="F7" s="280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80" t="n">
        <v>39309</v>
      </c>
      <c r="C8" s="280" t="n">
        <v>39455</v>
      </c>
      <c r="D8" s="280"/>
      <c r="E8" s="280"/>
      <c r="F8" s="280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80" t="n">
        <v>17078</v>
      </c>
      <c r="C9" s="280" t="n">
        <v>21455</v>
      </c>
      <c r="D9" s="280"/>
      <c r="E9" s="280"/>
      <c r="F9" s="280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80" t="n">
        <v>38021</v>
      </c>
      <c r="C10" s="280" t="n">
        <v>38122</v>
      </c>
      <c r="D10" s="280"/>
      <c r="E10" s="280"/>
      <c r="F10" s="280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80" t="n">
        <v>50313</v>
      </c>
      <c r="C11" s="280" t="n">
        <v>34788</v>
      </c>
      <c r="D11" s="280"/>
      <c r="E11" s="280"/>
      <c r="F11" s="280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80" t="n">
        <v>41422</v>
      </c>
      <c r="C12" s="280" t="n">
        <v>41455</v>
      </c>
      <c r="D12" s="280" t="n">
        <v>-663</v>
      </c>
      <c r="E12" s="280"/>
      <c r="F12" s="280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80" t="n">
        <v>41404</v>
      </c>
      <c r="C13" s="280" t="n">
        <v>41455</v>
      </c>
      <c r="D13" s="280" t="n">
        <v>-302</v>
      </c>
      <c r="E13" s="280"/>
      <c r="F13" s="280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80" t="n">
        <v>51512</v>
      </c>
      <c r="C14" s="280" t="n">
        <v>46739</v>
      </c>
      <c r="D14" s="280"/>
      <c r="E14" s="280"/>
      <c r="F14" s="280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80" t="n">
        <v>46816</v>
      </c>
      <c r="C15" s="280" t="n">
        <v>46871</v>
      </c>
      <c r="D15" s="280"/>
      <c r="E15" s="280"/>
      <c r="F15" s="280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80" t="n">
        <v>44923</v>
      </c>
      <c r="C16" s="280" t="n">
        <v>44937</v>
      </c>
      <c r="D16" s="280"/>
      <c r="E16" s="280"/>
      <c r="F16" s="280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80" t="n">
        <v>49883</v>
      </c>
      <c r="C17" s="280" t="n">
        <v>44937</v>
      </c>
      <c r="D17" s="30"/>
      <c r="E17" s="30"/>
      <c r="F17" s="280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80" t="n">
        <v>51915</v>
      </c>
      <c r="C18" s="280" t="n">
        <v>46937</v>
      </c>
      <c r="D18" s="30"/>
      <c r="E18" s="30"/>
      <c r="F18" s="280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80" t="n">
        <v>54916</v>
      </c>
      <c r="C19" s="280" t="n">
        <v>49937</v>
      </c>
      <c r="D19" s="30"/>
      <c r="E19" s="30"/>
      <c r="F19" s="280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73" t="n">
        <v>63907</v>
      </c>
      <c r="C20" s="373" t="n">
        <v>58936</v>
      </c>
      <c r="D20" s="30"/>
      <c r="E20" s="30"/>
      <c r="F20" s="280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73" t="n">
        <v>63938</v>
      </c>
      <c r="C21" s="373" t="n">
        <v>58937</v>
      </c>
      <c r="D21" s="30"/>
      <c r="E21" s="30"/>
      <c r="F21" s="280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73" t="n">
        <v>58756</v>
      </c>
      <c r="C22" s="373" t="n">
        <v>58727</v>
      </c>
      <c r="D22" s="30"/>
      <c r="E22" s="30"/>
      <c r="F22" s="280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73" t="n">
        <v>49619</v>
      </c>
      <c r="C23" s="373" t="n">
        <v>49630</v>
      </c>
      <c r="D23" s="30"/>
      <c r="E23" s="30"/>
      <c r="F23" s="280" t="n">
        <f aca="false">+E23-D23+C23-B23</f>
        <v>11</v>
      </c>
    </row>
    <row r="24" customFormat="false" ht="12.75" hidden="false" customHeight="false" outlineLevel="0" collapsed="false">
      <c r="A24" s="0" t="n">
        <v>22</v>
      </c>
      <c r="B24" s="373" t="n">
        <v>62677</v>
      </c>
      <c r="C24" s="373" t="n">
        <v>62726</v>
      </c>
      <c r="D24" s="30"/>
      <c r="E24" s="30"/>
      <c r="F24" s="280" t="n">
        <f aca="false">+E24-D24+C24-B24</f>
        <v>49</v>
      </c>
    </row>
    <row r="25" customFormat="false" ht="12.75" hidden="false" customHeight="false" outlineLevel="0" collapsed="false">
      <c r="A25" s="0" t="n">
        <v>23</v>
      </c>
      <c r="B25" s="373" t="n">
        <v>25217</v>
      </c>
      <c r="C25" s="373" t="n">
        <v>24938</v>
      </c>
      <c r="D25" s="30"/>
      <c r="E25" s="30"/>
      <c r="F25" s="280" t="n">
        <f aca="false">+E25-D25+C25-B25</f>
        <v>-279</v>
      </c>
    </row>
    <row r="26" customFormat="false" ht="12.75" hidden="false" customHeight="false" outlineLevel="0" collapsed="false">
      <c r="A26" s="0" t="n">
        <v>24</v>
      </c>
      <c r="B26" s="373" t="n">
        <v>47555</v>
      </c>
      <c r="C26" s="373" t="n">
        <v>47771</v>
      </c>
      <c r="D26" s="30"/>
      <c r="E26" s="30"/>
      <c r="F26" s="280" t="n">
        <f aca="false">+E26-D26+C26-B26</f>
        <v>216</v>
      </c>
    </row>
    <row r="27" customFormat="false" ht="12.75" hidden="false" customHeight="false" outlineLevel="0" collapsed="false">
      <c r="A27" s="0" t="n">
        <v>25</v>
      </c>
      <c r="B27" s="373" t="n">
        <v>61590</v>
      </c>
      <c r="C27" s="373" t="n">
        <v>59450</v>
      </c>
      <c r="D27" s="30"/>
      <c r="E27" s="30"/>
      <c r="F27" s="280" t="n">
        <f aca="false">+E27-D27+C27-B27</f>
        <v>-2140</v>
      </c>
    </row>
    <row r="28" customFormat="false" ht="12.75" hidden="false" customHeight="false" outlineLevel="0" collapsed="false">
      <c r="A28" s="0" t="n">
        <v>26</v>
      </c>
      <c r="B28" s="373" t="n">
        <v>62611</v>
      </c>
      <c r="C28" s="373" t="n">
        <v>59665</v>
      </c>
      <c r="D28" s="30"/>
      <c r="E28" s="30"/>
      <c r="F28" s="280" t="n">
        <f aca="false">+E28-D28+C28-B28</f>
        <v>-2946</v>
      </c>
    </row>
    <row r="29" customFormat="false" ht="12.75" hidden="false" customHeight="false" outlineLevel="0" collapsed="false">
      <c r="A29" s="0" t="n">
        <v>27</v>
      </c>
      <c r="B29" s="373" t="n">
        <v>40004</v>
      </c>
      <c r="C29" s="373" t="n">
        <v>39938</v>
      </c>
      <c r="D29" s="30"/>
      <c r="E29" s="30"/>
      <c r="F29" s="280" t="n">
        <f aca="false">+E29-D29+C29-B29</f>
        <v>-66</v>
      </c>
    </row>
    <row r="30" customFormat="false" ht="12.75" hidden="false" customHeight="false" outlineLevel="0" collapsed="false">
      <c r="A30" s="0" t="n">
        <v>28</v>
      </c>
      <c r="B30" s="373" t="n">
        <v>62854</v>
      </c>
      <c r="C30" s="373" t="n">
        <v>62938</v>
      </c>
      <c r="D30" s="30" t="n">
        <v>-5</v>
      </c>
      <c r="E30" s="30"/>
      <c r="F30" s="280" t="n">
        <f aca="false">+E30-D30+C30-B30</f>
        <v>89</v>
      </c>
    </row>
    <row r="31" customFormat="false" ht="12.75" hidden="false" customHeight="false" outlineLevel="0" collapsed="false">
      <c r="A31" s="0" t="n">
        <v>29</v>
      </c>
      <c r="B31" s="373" t="n">
        <v>59138</v>
      </c>
      <c r="C31" s="373" t="n">
        <v>59105</v>
      </c>
      <c r="D31" s="30"/>
      <c r="E31" s="30" t="n">
        <v>-10946</v>
      </c>
      <c r="F31" s="280" t="n">
        <f aca="false">+E31-D31+C31-B31</f>
        <v>-10979</v>
      </c>
    </row>
    <row r="32" customFormat="false" ht="12.75" hidden="false" customHeight="false" outlineLevel="0" collapsed="false">
      <c r="A32" s="0" t="n">
        <v>30</v>
      </c>
      <c r="B32" s="373"/>
      <c r="C32" s="373"/>
      <c r="D32" s="30"/>
      <c r="E32" s="30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3"/>
      <c r="C33" s="373"/>
      <c r="D33" s="30"/>
      <c r="E33" s="30"/>
      <c r="F33" s="280" t="n">
        <f aca="false">+E33-D33+C33-B33</f>
        <v>0</v>
      </c>
    </row>
    <row r="34" customFormat="false" ht="12.75" hidden="false" customHeight="false" outlineLevel="0" collapsed="false">
      <c r="B34" s="374" t="n">
        <f aca="false">SUM(B3:B33)</f>
        <v>1336545</v>
      </c>
      <c r="C34" s="374" t="n">
        <f aca="false">SUM(C3:C33)</f>
        <v>1317687</v>
      </c>
      <c r="D34" s="30" t="n">
        <f aca="false">SUM(D3:D33)</f>
        <v>-970</v>
      </c>
      <c r="E34" s="30" t="n">
        <f aca="false">SUM(E3:E33)</f>
        <v>-10946</v>
      </c>
      <c r="F34" s="30" t="n">
        <f aca="false">SUM(F3:F33)</f>
        <v>-28834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5" t="n">
        <v>37103</v>
      </c>
      <c r="B37" s="30"/>
      <c r="C37" s="30"/>
      <c r="D37" s="30"/>
      <c r="E37" s="30"/>
      <c r="F37" s="154" t="n">
        <f aca="false">120271+30271</f>
        <v>150542</v>
      </c>
    </row>
    <row r="38" customFormat="false" ht="12.75" hidden="false" customHeight="false" outlineLevel="0" collapsed="false">
      <c r="A38" s="375" t="n">
        <v>37132</v>
      </c>
      <c r="B38" s="30"/>
      <c r="C38" s="30"/>
      <c r="D38" s="30"/>
      <c r="E38" s="30"/>
      <c r="F38" s="108" t="n">
        <f aca="false">+F37+F34</f>
        <v>121708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37103</v>
      </c>
      <c r="B43" s="9"/>
      <c r="C43" s="9"/>
      <c r="D43" s="125" t="n">
        <f aca="false">201367.37+184384.51</f>
        <v>385751.88</v>
      </c>
      <c r="F43" s="59"/>
    </row>
    <row r="44" customFormat="false" ht="12.75" hidden="false" customHeight="false" outlineLevel="0" collapsed="false">
      <c r="A44" s="124" t="n">
        <f aca="false">+A38</f>
        <v>37132</v>
      </c>
      <c r="B44" s="9"/>
      <c r="C44" s="9"/>
      <c r="D44" s="126" t="n">
        <f aca="false">+F34*'by type'!J4</f>
        <v>-79870.18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305881.7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1" sqref="D42 C33 B36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-20818</v>
      </c>
      <c r="C4" s="108" t="n">
        <v>-20000</v>
      </c>
      <c r="D4" s="120" t="n">
        <f aca="false">+C4-B4</f>
        <v>818</v>
      </c>
    </row>
    <row r="5" customFormat="false" ht="12.75" hidden="false" customHeight="false" outlineLevel="0" collapsed="false">
      <c r="A5" s="107" t="n">
        <v>2</v>
      </c>
      <c r="B5" s="108" t="n">
        <v>-19999</v>
      </c>
      <c r="C5" s="108" t="n">
        <v>-20000</v>
      </c>
      <c r="D5" s="120" t="n">
        <f aca="false">+C5-B5</f>
        <v>-1</v>
      </c>
    </row>
    <row r="6" customFormat="false" ht="12.75" hidden="false" customHeight="false" outlineLevel="0" collapsed="false">
      <c r="A6" s="107" t="n">
        <v>3</v>
      </c>
      <c r="B6" s="108" t="n">
        <v>-21734</v>
      </c>
      <c r="C6" s="108" t="n">
        <v>-20609</v>
      </c>
      <c r="D6" s="120" t="n">
        <f aca="false">+C6-B6</f>
        <v>1125</v>
      </c>
    </row>
    <row r="7" customFormat="false" ht="12.75" hidden="false" customHeight="false" outlineLevel="0" collapsed="false">
      <c r="A7" s="107" t="n">
        <v>4</v>
      </c>
      <c r="B7" s="108" t="n">
        <v>-20009</v>
      </c>
      <c r="C7" s="108" t="n">
        <v>-20000</v>
      </c>
      <c r="D7" s="120" t="n">
        <f aca="false">+C7-B7</f>
        <v>9</v>
      </c>
    </row>
    <row r="8" customFormat="false" ht="12.75" hidden="false" customHeight="false" outlineLevel="0" collapsed="false">
      <c r="A8" s="107" t="n">
        <v>5</v>
      </c>
      <c r="B8" s="108" t="n">
        <v>-20393</v>
      </c>
      <c r="C8" s="108" t="n">
        <v>-20000</v>
      </c>
      <c r="D8" s="120" t="n">
        <f aca="false">+C8-B8</f>
        <v>393</v>
      </c>
    </row>
    <row r="9" customFormat="false" ht="12.75" hidden="false" customHeight="false" outlineLevel="0" collapsed="false">
      <c r="A9" s="107" t="n">
        <v>6</v>
      </c>
      <c r="B9" s="108" t="n">
        <v>-20508</v>
      </c>
      <c r="C9" s="108" t="n">
        <v>-20000</v>
      </c>
      <c r="D9" s="120" t="n">
        <f aca="false">+C9-B9</f>
        <v>508</v>
      </c>
    </row>
    <row r="10" customFormat="false" ht="12.75" hidden="false" customHeight="false" outlineLevel="0" collapsed="false">
      <c r="A10" s="107" t="n">
        <v>7</v>
      </c>
      <c r="B10" s="108" t="n">
        <v>-20768</v>
      </c>
      <c r="C10" s="108" t="n">
        <v>-20000</v>
      </c>
      <c r="D10" s="120" t="n">
        <f aca="false">+C10-B10</f>
        <v>768</v>
      </c>
    </row>
    <row r="11" customFormat="false" ht="12.75" hidden="false" customHeight="false" outlineLevel="0" collapsed="false">
      <c r="A11" s="107" t="n">
        <v>8</v>
      </c>
      <c r="B11" s="108" t="n">
        <v>-21004</v>
      </c>
      <c r="C11" s="108" t="n">
        <v>-19966</v>
      </c>
      <c r="D11" s="120" t="n">
        <f aca="false">+C11-B11</f>
        <v>1038</v>
      </c>
    </row>
    <row r="12" customFormat="false" ht="12.75" hidden="false" customHeight="false" outlineLevel="0" collapsed="false">
      <c r="A12" s="107" t="n">
        <v>9</v>
      </c>
      <c r="B12" s="108" t="n">
        <v>-20992</v>
      </c>
      <c r="C12" s="108" t="n">
        <v>-20000</v>
      </c>
      <c r="D12" s="120" t="n">
        <f aca="false">+C12-B12</f>
        <v>992</v>
      </c>
    </row>
    <row r="13" customFormat="false" ht="12.75" hidden="false" customHeight="false" outlineLevel="0" collapsed="false">
      <c r="A13" s="107" t="n">
        <v>10</v>
      </c>
      <c r="B13" s="108" t="n">
        <v>-21007</v>
      </c>
      <c r="C13" s="108" t="n">
        <v>-20702</v>
      </c>
      <c r="D13" s="120" t="n">
        <f aca="false">+C13-B13</f>
        <v>305</v>
      </c>
    </row>
    <row r="14" customFormat="false" ht="12.75" hidden="false" customHeight="false" outlineLevel="0" collapsed="false">
      <c r="A14" s="107" t="n">
        <v>11</v>
      </c>
      <c r="B14" s="108" t="n">
        <v>-20996</v>
      </c>
      <c r="C14" s="108" t="n">
        <v>-19967</v>
      </c>
      <c r="D14" s="120" t="n">
        <f aca="false">+C14-B14</f>
        <v>1029</v>
      </c>
    </row>
    <row r="15" customFormat="false" ht="12.75" hidden="false" customHeight="false" outlineLevel="0" collapsed="false">
      <c r="A15" s="107" t="n">
        <v>12</v>
      </c>
      <c r="B15" s="108" t="n">
        <v>-20140</v>
      </c>
      <c r="C15" s="108" t="n">
        <v>-19726</v>
      </c>
      <c r="D15" s="120" t="n">
        <f aca="false">+C15-B15</f>
        <v>414</v>
      </c>
    </row>
    <row r="16" customFormat="false" ht="12.75" hidden="false" customHeight="false" outlineLevel="0" collapsed="false">
      <c r="A16" s="107" t="n">
        <v>13</v>
      </c>
      <c r="B16" s="108" t="n">
        <v>-19791</v>
      </c>
      <c r="C16" s="108" t="n">
        <v>-20000</v>
      </c>
      <c r="D16" s="120" t="n">
        <f aca="false">+C16-B16</f>
        <v>-209</v>
      </c>
    </row>
    <row r="17" customFormat="false" ht="12.75" hidden="false" customHeight="false" outlineLevel="0" collapsed="false">
      <c r="A17" s="107" t="n">
        <v>14</v>
      </c>
      <c r="B17" s="108" t="n">
        <v>-20311</v>
      </c>
      <c r="C17" s="108" t="n">
        <v>-20000</v>
      </c>
      <c r="D17" s="120" t="n">
        <f aca="false">+C17-B17</f>
        <v>311</v>
      </c>
    </row>
    <row r="18" customFormat="false" ht="12.75" hidden="false" customHeight="false" outlineLevel="0" collapsed="false">
      <c r="A18" s="107" t="n">
        <v>15</v>
      </c>
      <c r="B18" s="108" t="n">
        <v>-26129</v>
      </c>
      <c r="C18" s="108" t="n">
        <v>-25702</v>
      </c>
      <c r="D18" s="120" t="n">
        <f aca="false">+C18-B18</f>
        <v>427</v>
      </c>
    </row>
    <row r="19" customFormat="false" ht="12.75" hidden="false" customHeight="false" outlineLevel="0" collapsed="false">
      <c r="A19" s="107" t="n">
        <v>16</v>
      </c>
      <c r="B19" s="108" t="n">
        <v>-20992</v>
      </c>
      <c r="C19" s="108" t="n">
        <v>-20000</v>
      </c>
      <c r="D19" s="120" t="n">
        <f aca="false">+C19-B19</f>
        <v>992</v>
      </c>
    </row>
    <row r="20" customFormat="false" ht="12.75" hidden="false" customHeight="false" outlineLevel="0" collapsed="false">
      <c r="A20" s="107" t="n">
        <v>17</v>
      </c>
      <c r="B20" s="108" t="n">
        <v>-20037</v>
      </c>
      <c r="C20" s="108" t="n">
        <v>-20000</v>
      </c>
      <c r="D20" s="120" t="n">
        <f aca="false">+C20-B20</f>
        <v>37</v>
      </c>
    </row>
    <row r="21" customFormat="false" ht="12.75" hidden="false" customHeight="false" outlineLevel="0" collapsed="false">
      <c r="A21" s="107" t="n">
        <v>18</v>
      </c>
      <c r="B21" s="108" t="n">
        <v>-24168</v>
      </c>
      <c r="C21" s="108" t="n">
        <v>-23202</v>
      </c>
      <c r="D21" s="120" t="n">
        <f aca="false">+C21-B21</f>
        <v>966</v>
      </c>
    </row>
    <row r="22" customFormat="false" ht="12.75" hidden="false" customHeight="false" outlineLevel="0" collapsed="false">
      <c r="A22" s="107" t="n">
        <v>19</v>
      </c>
      <c r="B22" s="108" t="n">
        <v>-23086</v>
      </c>
      <c r="C22" s="108" t="n">
        <v>-23202</v>
      </c>
      <c r="D22" s="120" t="n">
        <f aca="false">+C22-B22</f>
        <v>-116</v>
      </c>
    </row>
    <row r="23" customFormat="false" ht="12.75" hidden="false" customHeight="false" outlineLevel="0" collapsed="false">
      <c r="A23" s="107" t="n">
        <v>20</v>
      </c>
      <c r="B23" s="108" t="n">
        <v>-23625</v>
      </c>
      <c r="C23" s="108" t="n">
        <v>-23202</v>
      </c>
      <c r="D23" s="120" t="n">
        <f aca="false">+C23-B23</f>
        <v>423</v>
      </c>
    </row>
    <row r="24" customFormat="false" ht="12.75" hidden="false" customHeight="false" outlineLevel="0" collapsed="false">
      <c r="A24" s="107" t="n">
        <v>21</v>
      </c>
      <c r="B24" s="108" t="n">
        <v>-21002</v>
      </c>
      <c r="C24" s="108" t="n">
        <v>-20468</v>
      </c>
      <c r="D24" s="120" t="n">
        <f aca="false">+C24-B24</f>
        <v>534</v>
      </c>
    </row>
    <row r="25" customFormat="false" ht="12.75" hidden="false" customHeight="false" outlineLevel="0" collapsed="false">
      <c r="A25" s="107" t="n">
        <v>22</v>
      </c>
      <c r="B25" s="108" t="n">
        <v>-20992</v>
      </c>
      <c r="C25" s="108" t="n">
        <v>-20468</v>
      </c>
      <c r="D25" s="120" t="n">
        <f aca="false">+C25-B25</f>
        <v>524</v>
      </c>
    </row>
    <row r="26" customFormat="false" ht="12.75" hidden="false" customHeight="false" outlineLevel="0" collapsed="false">
      <c r="A26" s="107" t="n">
        <v>23</v>
      </c>
      <c r="B26" s="108" t="n">
        <v>-21004</v>
      </c>
      <c r="C26" s="108" t="n">
        <v>-20000</v>
      </c>
      <c r="D26" s="120" t="n">
        <f aca="false">+C26-B26</f>
        <v>1004</v>
      </c>
    </row>
    <row r="27" customFormat="false" ht="12.75" hidden="false" customHeight="false" outlineLevel="0" collapsed="false">
      <c r="A27" s="107" t="n">
        <v>24</v>
      </c>
      <c r="B27" s="108" t="n">
        <v>-20997</v>
      </c>
      <c r="C27" s="108" t="n">
        <v>-19966</v>
      </c>
      <c r="D27" s="120" t="n">
        <f aca="false">+C27-B27</f>
        <v>1031</v>
      </c>
    </row>
    <row r="28" customFormat="false" ht="12.75" hidden="false" customHeight="false" outlineLevel="0" collapsed="false">
      <c r="A28" s="107" t="n">
        <v>25</v>
      </c>
      <c r="B28" s="108" t="n">
        <v>-21000</v>
      </c>
      <c r="C28" s="108" t="n">
        <v>-20000</v>
      </c>
      <c r="D28" s="120" t="n">
        <f aca="false">+C28-B28</f>
        <v>1000</v>
      </c>
    </row>
    <row r="29" customFormat="false" ht="12.75" hidden="false" customHeight="false" outlineLevel="0" collapsed="false">
      <c r="A29" s="107" t="n">
        <v>26</v>
      </c>
      <c r="B29" s="108" t="n">
        <v>-21002</v>
      </c>
      <c r="C29" s="108" t="n">
        <v>-20000</v>
      </c>
      <c r="D29" s="120" t="n">
        <f aca="false">+C29-B29</f>
        <v>1002</v>
      </c>
    </row>
    <row r="30" customFormat="false" ht="12.75" hidden="false" customHeight="false" outlineLevel="0" collapsed="false">
      <c r="A30" s="107" t="n">
        <v>27</v>
      </c>
      <c r="B30" s="108" t="n">
        <v>-19508</v>
      </c>
      <c r="C30" s="108" t="n">
        <v>-20000</v>
      </c>
      <c r="D30" s="120" t="n">
        <f aca="false">+C30-B30</f>
        <v>-492</v>
      </c>
    </row>
    <row r="31" customFormat="false" ht="12.75" hidden="false" customHeight="false" outlineLevel="0" collapsed="false">
      <c r="A31" s="107" t="n">
        <v>28</v>
      </c>
      <c r="B31" s="108" t="n">
        <v>-20205</v>
      </c>
      <c r="C31" s="108" t="n">
        <v>-20000</v>
      </c>
      <c r="D31" s="120" t="n">
        <f aca="false">+C31-B31</f>
        <v>205</v>
      </c>
    </row>
    <row r="32" customFormat="false" ht="12.75" hidden="false" customHeight="false" outlineLevel="0" collapsed="false">
      <c r="A32" s="107" t="n">
        <v>29</v>
      </c>
      <c r="B32" s="108" t="n">
        <v>-20361</v>
      </c>
      <c r="C32" s="108" t="n">
        <v>-20000</v>
      </c>
      <c r="D32" s="120" t="n">
        <f aca="false">+C32-B32</f>
        <v>361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-612578</v>
      </c>
      <c r="C35" s="108" t="n">
        <f aca="false">SUM(C4:C34)</f>
        <v>-597180</v>
      </c>
      <c r="D35" s="108" t="n">
        <f aca="false">SUM(D4:D34)</f>
        <v>15398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37103</v>
      </c>
      <c r="D38" s="154" t="n">
        <v>135803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37132</v>
      </c>
      <c r="D40" s="108" t="n">
        <f aca="false">+D38+D35</f>
        <v>151201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58" t="n">
        <v>82140</v>
      </c>
    </row>
    <row r="46" customFormat="false" ht="12.75" hidden="false" customHeight="false" outlineLevel="0" collapsed="false">
      <c r="A46" s="124" t="n">
        <f aca="false">+A40</f>
        <v>37132</v>
      </c>
      <c r="B46" s="9"/>
      <c r="C46" s="9"/>
      <c r="D46" s="126" t="n">
        <f aca="false">+D35*'by type'!J4</f>
        <v>42652.46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124792.46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33" activeCellId="3" sqref="C8 G32 E7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191</v>
      </c>
      <c r="C2" s="100"/>
      <c r="D2" s="144" t="s">
        <v>192</v>
      </c>
      <c r="E2" s="100"/>
      <c r="F2" s="144" t="s">
        <v>193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26125</v>
      </c>
      <c r="C4" s="108" t="n">
        <v>26316</v>
      </c>
      <c r="D4" s="108" t="n">
        <v>9809</v>
      </c>
      <c r="E4" s="108" t="n">
        <v>8750</v>
      </c>
      <c r="F4" s="108"/>
      <c r="G4" s="108"/>
      <c r="H4" s="108"/>
      <c r="I4" s="108"/>
      <c r="J4" s="108" t="n">
        <f aca="false">+C4+E4+G4+I4-H4-F4-D4-B4</f>
        <v>-868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25579</v>
      </c>
      <c r="C5" s="108" t="n">
        <v>26140</v>
      </c>
      <c r="D5" s="108" t="n">
        <v>9577</v>
      </c>
      <c r="E5" s="108" t="n">
        <v>8750</v>
      </c>
      <c r="F5" s="108"/>
      <c r="G5" s="108"/>
      <c r="H5" s="108"/>
      <c r="I5" s="108" t="n">
        <v>176</v>
      </c>
      <c r="J5" s="108" t="n">
        <f aca="false">+C5+E5+G5+I5-H5-F5-D5-B5</f>
        <v>-90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25083</v>
      </c>
      <c r="C6" s="108" t="n">
        <v>26316</v>
      </c>
      <c r="D6" s="108" t="n">
        <v>9649</v>
      </c>
      <c r="E6" s="108" t="n">
        <v>8750</v>
      </c>
      <c r="F6" s="108"/>
      <c r="G6" s="108"/>
      <c r="H6" s="108"/>
      <c r="I6" s="108"/>
      <c r="J6" s="108" t="n">
        <f aca="false">+C6+E6+G6+I6-H6-F6-D6-B6</f>
        <v>334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24738</v>
      </c>
      <c r="C7" s="108" t="n">
        <v>26069</v>
      </c>
      <c r="D7" s="108" t="n">
        <v>9083</v>
      </c>
      <c r="E7" s="108" t="n">
        <v>8668</v>
      </c>
      <c r="F7" s="108"/>
      <c r="G7" s="108"/>
      <c r="H7" s="108"/>
      <c r="I7" s="108"/>
      <c r="J7" s="108" t="n">
        <f aca="false">+C7+E7+G7+I7-H7-F7-D7-B7</f>
        <v>916</v>
      </c>
      <c r="N7" s="113"/>
      <c r="Q7" s="194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24635</v>
      </c>
      <c r="C8" s="108" t="n">
        <v>26316</v>
      </c>
      <c r="D8" s="108" t="n">
        <v>9400</v>
      </c>
      <c r="E8" s="108" t="n">
        <v>8750</v>
      </c>
      <c r="F8" s="108"/>
      <c r="G8" s="108"/>
      <c r="H8" s="108"/>
      <c r="I8" s="108"/>
      <c r="J8" s="108" t="n">
        <f aca="false">+C8+E8+G8+I8-H8-F8-D8-B8</f>
        <v>1031</v>
      </c>
      <c r="N8" s="113"/>
      <c r="Q8" s="194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24092</v>
      </c>
      <c r="C9" s="108" t="n">
        <v>26316</v>
      </c>
      <c r="D9" s="108" t="n">
        <v>9085</v>
      </c>
      <c r="E9" s="108" t="n">
        <v>8750</v>
      </c>
      <c r="F9" s="108"/>
      <c r="G9" s="108"/>
      <c r="H9" s="108"/>
      <c r="I9" s="108"/>
      <c r="J9" s="108" t="n">
        <f aca="false">+C9+E9+G9+I9-H9-F9-D9-B9</f>
        <v>1889</v>
      </c>
      <c r="N9" s="113"/>
      <c r="Q9" s="194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23913</v>
      </c>
      <c r="C10" s="108" t="n">
        <v>26316</v>
      </c>
      <c r="D10" s="108" t="n">
        <v>7801</v>
      </c>
      <c r="E10" s="108" t="n">
        <v>8750</v>
      </c>
      <c r="F10" s="108"/>
      <c r="G10" s="108"/>
      <c r="H10" s="108" t="n">
        <v>67</v>
      </c>
      <c r="I10" s="108"/>
      <c r="J10" s="108" t="n">
        <f aca="false">+C10+E10+G10+I10-H10-F10-D10-B10</f>
        <v>3285</v>
      </c>
      <c r="N10" s="113"/>
      <c r="Q10" s="194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23713</v>
      </c>
      <c r="C11" s="108" t="n">
        <v>26316</v>
      </c>
      <c r="D11" s="108" t="n">
        <v>9583</v>
      </c>
      <c r="E11" s="108" t="n">
        <v>8750</v>
      </c>
      <c r="F11" s="108"/>
      <c r="G11" s="108"/>
      <c r="H11" s="108"/>
      <c r="I11" s="108"/>
      <c r="J11" s="108" t="n">
        <f aca="false">+C11+E11+G11+I11-H11-F11-D11-B11</f>
        <v>1770</v>
      </c>
      <c r="N11" s="113"/>
      <c r="Q11" s="195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23424</v>
      </c>
      <c r="C12" s="108" t="n">
        <v>22812</v>
      </c>
      <c r="D12" s="108" t="n">
        <v>9134</v>
      </c>
      <c r="E12" s="108" t="n">
        <v>8248</v>
      </c>
      <c r="F12" s="108"/>
      <c r="G12" s="108"/>
      <c r="H12" s="108"/>
      <c r="I12" s="108"/>
      <c r="J12" s="108" t="n">
        <f aca="false">+C12+E12+G12+I12-H12-F12-D12-B12</f>
        <v>-1498</v>
      </c>
      <c r="N12" s="113"/>
      <c r="Q12" s="195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23086</v>
      </c>
      <c r="C13" s="108" t="n">
        <v>22816</v>
      </c>
      <c r="D13" s="108" t="n">
        <v>9222</v>
      </c>
      <c r="E13" s="108" t="n">
        <v>8250</v>
      </c>
      <c r="F13" s="108"/>
      <c r="G13" s="108"/>
      <c r="H13" s="108"/>
      <c r="I13" s="108"/>
      <c r="J13" s="108" t="n">
        <f aca="false">+C13+E13+G13+I13-H13-F13-D13-B13</f>
        <v>-1242</v>
      </c>
      <c r="N13" s="113"/>
      <c r="Q13" s="195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22763</v>
      </c>
      <c r="C14" s="108" t="n">
        <v>22784</v>
      </c>
      <c r="D14" s="108" t="n">
        <v>9130</v>
      </c>
      <c r="E14" s="108" t="n">
        <v>8239</v>
      </c>
      <c r="F14" s="108"/>
      <c r="G14" s="108"/>
      <c r="H14" s="108"/>
      <c r="I14" s="108"/>
      <c r="J14" s="108" t="n">
        <f aca="false">+C14+E14+G14+I14-H14-F14-D14-B14</f>
        <v>-870</v>
      </c>
      <c r="N14" s="113"/>
      <c r="Q14" s="195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22755</v>
      </c>
      <c r="C15" s="108" t="n">
        <v>22796</v>
      </c>
      <c r="D15" s="108" t="n">
        <v>9161</v>
      </c>
      <c r="E15" s="108" t="n">
        <v>8243</v>
      </c>
      <c r="F15" s="108"/>
      <c r="G15" s="108"/>
      <c r="H15" s="108"/>
      <c r="I15" s="108"/>
      <c r="J15" s="108" t="n">
        <f aca="false">+C15+E15+G15+I15-H15-F15-D15-B15</f>
        <v>-877</v>
      </c>
      <c r="N15" s="113"/>
      <c r="Q15" s="195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22602</v>
      </c>
      <c r="C16" s="108" t="n">
        <v>22816</v>
      </c>
      <c r="D16" s="108" t="n">
        <v>8237</v>
      </c>
      <c r="E16" s="108" t="n">
        <v>8250</v>
      </c>
      <c r="F16" s="108"/>
      <c r="G16" s="108"/>
      <c r="H16" s="108"/>
      <c r="I16" s="108"/>
      <c r="J16" s="108" t="n">
        <f aca="false">+C16+E16+G16+I16-H16-F16-D16-B16</f>
        <v>227</v>
      </c>
      <c r="N16" s="113"/>
      <c r="Q16" s="195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22706</v>
      </c>
      <c r="C17" s="108" t="n">
        <v>22816</v>
      </c>
      <c r="D17" s="108" t="n">
        <v>9219</v>
      </c>
      <c r="E17" s="108" t="n">
        <v>8250</v>
      </c>
      <c r="F17" s="108"/>
      <c r="G17" s="108"/>
      <c r="H17" s="108"/>
      <c r="I17" s="108"/>
      <c r="J17" s="108" t="n">
        <f aca="false">+C17+E17+G17+I17-H17-F17-D17-B17</f>
        <v>-859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22564</v>
      </c>
      <c r="C18" s="108" t="n">
        <v>22816</v>
      </c>
      <c r="D18" s="108" t="n">
        <v>9531</v>
      </c>
      <c r="E18" s="108" t="n">
        <v>8250</v>
      </c>
      <c r="F18" s="108"/>
      <c r="G18" s="108"/>
      <c r="H18" s="108"/>
      <c r="I18" s="108"/>
      <c r="J18" s="108" t="n">
        <f aca="false">+C18+E18+G18+I18-H18-F18-D18-B18</f>
        <v>-1029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 t="n">
        <v>22545</v>
      </c>
      <c r="C19" s="108" t="n">
        <v>22418</v>
      </c>
      <c r="D19" s="108" t="n">
        <v>9530</v>
      </c>
      <c r="E19" s="108" t="n">
        <v>8106</v>
      </c>
      <c r="F19" s="108"/>
      <c r="G19" s="108"/>
      <c r="H19" s="108"/>
      <c r="I19" s="108"/>
      <c r="J19" s="108" t="n">
        <f aca="false">+C19+E19+G19+I19-H19-F19-D19-B19</f>
        <v>-1551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 t="n">
        <v>22399</v>
      </c>
      <c r="C20" s="108" t="n">
        <v>22816</v>
      </c>
      <c r="D20" s="108" t="n">
        <v>9520</v>
      </c>
      <c r="E20" s="108" t="n">
        <v>8250</v>
      </c>
      <c r="F20" s="108"/>
      <c r="G20" s="108"/>
      <c r="H20" s="108"/>
      <c r="I20" s="108"/>
      <c r="J20" s="108" t="n">
        <f aca="false">+C20+E20+G20+I20-H20-F20-D20-B20</f>
        <v>-853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 t="n">
        <v>22559</v>
      </c>
      <c r="C21" s="108" t="n">
        <v>15898</v>
      </c>
      <c r="D21" s="108" t="n">
        <v>9287</v>
      </c>
      <c r="E21" s="108" t="n">
        <v>5749</v>
      </c>
      <c r="F21" s="108"/>
      <c r="G21" s="108"/>
      <c r="H21" s="108"/>
      <c r="I21" s="108"/>
      <c r="J21" s="108" t="n">
        <f aca="false">+C21+E21+G21+I21-H21-F21-D21-B21</f>
        <v>-10199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 t="n">
        <v>22320</v>
      </c>
      <c r="C22" s="108" t="n">
        <v>15898</v>
      </c>
      <c r="D22" s="108" t="n">
        <v>8830</v>
      </c>
      <c r="E22" s="108" t="n">
        <v>5749</v>
      </c>
      <c r="F22" s="108"/>
      <c r="G22" s="108"/>
      <c r="H22" s="108"/>
      <c r="I22" s="108"/>
      <c r="J22" s="108" t="n">
        <f aca="false">+C22+E22+G22+I22-H22-F22-D22-B22</f>
        <v>-9503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 t="n">
        <v>22134</v>
      </c>
      <c r="C23" s="108" t="n">
        <v>17352</v>
      </c>
      <c r="D23" s="108" t="n">
        <v>7841</v>
      </c>
      <c r="E23" s="108" t="n">
        <v>6274</v>
      </c>
      <c r="F23" s="108"/>
      <c r="G23" s="108"/>
      <c r="H23" s="108"/>
      <c r="I23" s="108"/>
      <c r="J23" s="108" t="n">
        <f aca="false">+C23+E23+G23+I23-H23-F23-D23-B23</f>
        <v>-6349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 t="n">
        <v>21998</v>
      </c>
      <c r="C24" s="108" t="n">
        <v>22757</v>
      </c>
      <c r="D24" s="108" t="n">
        <v>7574</v>
      </c>
      <c r="E24" s="108" t="n">
        <v>8229</v>
      </c>
      <c r="F24" s="108"/>
      <c r="G24" s="108"/>
      <c r="H24" s="108"/>
      <c r="I24" s="108"/>
      <c r="J24" s="108" t="n">
        <f aca="false">+C24+E24+G24+I24-H24-F24-D24-B24</f>
        <v>1414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 t="n">
        <v>21990</v>
      </c>
      <c r="C25" s="108" t="n">
        <v>22816</v>
      </c>
      <c r="D25" s="108" t="n">
        <v>9634</v>
      </c>
      <c r="E25" s="108" t="n">
        <v>8250</v>
      </c>
      <c r="F25" s="108"/>
      <c r="G25" s="108"/>
      <c r="H25" s="108"/>
      <c r="I25" s="108"/>
      <c r="J25" s="108" t="n">
        <f aca="false">+C25+E25+G25+I25-H25-F25-D25-B25</f>
        <v>-558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 t="n">
        <v>21678</v>
      </c>
      <c r="C26" s="108" t="n">
        <v>22488</v>
      </c>
      <c r="D26" s="108" t="n">
        <v>8719</v>
      </c>
      <c r="E26" s="108" t="n">
        <v>8131</v>
      </c>
      <c r="F26" s="108"/>
      <c r="G26" s="108"/>
      <c r="H26" s="108"/>
      <c r="I26" s="108"/>
      <c r="J26" s="108" t="n">
        <f aca="false">+C26+E26+G26+I26-H26-F26-D26-B26</f>
        <v>222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 t="n">
        <v>21808</v>
      </c>
      <c r="C27" s="108" t="n">
        <v>22816</v>
      </c>
      <c r="D27" s="108" t="n">
        <v>8539</v>
      </c>
      <c r="E27" s="108" t="n">
        <v>8250</v>
      </c>
      <c r="F27" s="108"/>
      <c r="G27" s="108"/>
      <c r="H27" s="108"/>
      <c r="I27" s="108"/>
      <c r="J27" s="108" t="n">
        <f aca="false">+C27+E27+G27+I27-H27-F27-D27-B27</f>
        <v>719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 t="n">
        <v>21144</v>
      </c>
      <c r="C28" s="108" t="n">
        <v>22699</v>
      </c>
      <c r="D28" s="108" t="n">
        <v>8500</v>
      </c>
      <c r="E28" s="108" t="n">
        <v>8208</v>
      </c>
      <c r="F28" s="108"/>
      <c r="G28" s="108"/>
      <c r="H28" s="108"/>
      <c r="I28" s="108"/>
      <c r="J28" s="108" t="n">
        <f aca="false">+C28+E28+G28+I28-H28-F28-D28-B28</f>
        <v>1263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 t="n">
        <v>21738</v>
      </c>
      <c r="C29" s="108" t="n">
        <v>22530</v>
      </c>
      <c r="D29" s="108" t="n">
        <v>8876</v>
      </c>
      <c r="E29" s="108" t="n">
        <v>8147</v>
      </c>
      <c r="F29" s="108"/>
      <c r="G29" s="108"/>
      <c r="H29" s="108"/>
      <c r="I29" s="108"/>
      <c r="J29" s="108" t="n">
        <f aca="false">+C29+E29+G29+I29-H29-F29-D29-B29</f>
        <v>63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 t="n">
        <v>21482</v>
      </c>
      <c r="C30" s="108" t="n">
        <v>22816</v>
      </c>
      <c r="D30" s="108" t="n">
        <v>9362</v>
      </c>
      <c r="E30" s="108" t="n">
        <v>8250</v>
      </c>
      <c r="F30" s="108"/>
      <c r="G30" s="108"/>
      <c r="H30" s="108"/>
      <c r="I30" s="108"/>
      <c r="J30" s="108" t="n">
        <f aca="false">+C30+E30+G30+I30-H30-F30-D30-B30</f>
        <v>222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 t="n">
        <v>21243</v>
      </c>
      <c r="C31" s="108" t="n">
        <v>22816</v>
      </c>
      <c r="D31" s="108" t="n">
        <v>9407</v>
      </c>
      <c r="E31" s="108" t="n">
        <v>8250</v>
      </c>
      <c r="F31" s="108"/>
      <c r="G31" s="108"/>
      <c r="H31" s="108"/>
      <c r="I31" s="108"/>
      <c r="J31" s="108" t="n">
        <f aca="false">+C31+E31+G31+I31-H31-F31-D31-B31</f>
        <v>416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 t="n">
        <v>21284</v>
      </c>
      <c r="C32" s="108" t="n">
        <v>16316</v>
      </c>
      <c r="D32" s="108" t="n">
        <v>9289</v>
      </c>
      <c r="E32" s="108" t="n">
        <v>8750</v>
      </c>
      <c r="F32" s="108"/>
      <c r="G32" s="108"/>
      <c r="H32" s="108"/>
      <c r="I32" s="108"/>
      <c r="J32" s="108" t="n">
        <f aca="false">+C32+E32+G32+I32-H32-F32-D32-B32</f>
        <v>-5507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664100</v>
      </c>
      <c r="C35" s="108" t="n">
        <f aca="false">SUM(C4:C34)</f>
        <v>662197</v>
      </c>
      <c r="D35" s="108" t="n">
        <f aca="false">SUM(D4:D34)</f>
        <v>262529</v>
      </c>
      <c r="E35" s="108" t="n">
        <f aca="false">SUM(E4:E34)</f>
        <v>236241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67</v>
      </c>
      <c r="I35" s="108" t="n">
        <f aca="false">SUM(I4:I34)</f>
        <v>176</v>
      </c>
      <c r="J35" s="108" t="n">
        <f aca="false">SUM(J4:J34)</f>
        <v>-28082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2.77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-77787.14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37103</v>
      </c>
      <c r="C39" s="120"/>
      <c r="E39" s="120"/>
      <c r="G39" s="120"/>
      <c r="I39" s="120"/>
      <c r="J39" s="207" t="n">
        <v>150097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37132</v>
      </c>
      <c r="J41" s="131" t="n">
        <f aca="false">+J39+J37</f>
        <v>72309.86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37103</v>
      </c>
      <c r="B46" s="9"/>
      <c r="C46" s="9"/>
      <c r="D46" s="301" t="n">
        <v>-60022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37132</v>
      </c>
      <c r="B47" s="9"/>
      <c r="C47" s="9"/>
      <c r="D47" s="37" t="n">
        <f aca="false">+J35</f>
        <v>-28082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-88104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43" activeCellId="3" sqref="C34 A41 B42 C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6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7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8" width="10.99"/>
    <col collapsed="false" customWidth="true" hidden="false" outlineLevel="0" max="39" min="39" style="376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4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3"/>
      <c r="F3" s="28"/>
      <c r="G3" s="28"/>
      <c r="I3" s="28"/>
      <c r="J3" s="28"/>
      <c r="K3" s="28"/>
    </row>
    <row r="4" customFormat="false" ht="17.1" hidden="false" customHeight="true" outlineLevel="0" collapsed="false">
      <c r="A4" s="173" t="s">
        <v>196</v>
      </c>
      <c r="B4" s="349" t="n">
        <v>12353</v>
      </c>
      <c r="C4" s="108" t="s">
        <v>197</v>
      </c>
      <c r="D4" s="349" t="n">
        <v>500168</v>
      </c>
      <c r="E4" s="108" t="s">
        <v>198</v>
      </c>
      <c r="F4" s="108"/>
      <c r="P4" s="33"/>
      <c r="S4" s="33"/>
      <c r="W4" s="9"/>
      <c r="X4" s="379"/>
    </row>
    <row r="5" customFormat="false" ht="17.1" hidden="false" customHeight="true" outlineLevel="0" collapsed="false">
      <c r="A5" s="18"/>
      <c r="B5" s="189" t="s">
        <v>115</v>
      </c>
      <c r="C5" s="189" t="s">
        <v>116</v>
      </c>
      <c r="D5" s="189" t="s">
        <v>115</v>
      </c>
      <c r="E5" s="189" t="s">
        <v>116</v>
      </c>
      <c r="F5" s="108"/>
      <c r="O5" s="319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 t="n">
        <v>-87770</v>
      </c>
      <c r="C6" s="108" t="n">
        <v>-89330</v>
      </c>
      <c r="D6" s="108"/>
      <c r="E6" s="108"/>
      <c r="F6" s="108" t="n">
        <f aca="false">+C6+E6-B6-D6</f>
        <v>-1560</v>
      </c>
      <c r="O6" s="319"/>
      <c r="P6" s="33"/>
      <c r="R6" s="30"/>
      <c r="S6" s="33"/>
      <c r="U6" s="30"/>
      <c r="V6" s="301"/>
      <c r="W6" s="111"/>
      <c r="X6" s="79"/>
      <c r="Y6" s="79"/>
      <c r="AD6" s="18"/>
      <c r="AE6" s="380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 t="n">
        <v>-88047</v>
      </c>
      <c r="C7" s="108" t="n">
        <v>-88502</v>
      </c>
      <c r="D7" s="108"/>
      <c r="E7" s="108"/>
      <c r="F7" s="108" t="n">
        <f aca="false">+C7+E7-B7-D7</f>
        <v>-455</v>
      </c>
      <c r="G7" s="28"/>
      <c r="I7" s="319"/>
      <c r="J7" s="319"/>
      <c r="K7" s="319"/>
      <c r="L7" s="319"/>
      <c r="M7" s="319"/>
      <c r="N7" s="319"/>
      <c r="O7" s="319"/>
      <c r="P7" s="33"/>
      <c r="R7" s="30"/>
      <c r="S7" s="33"/>
      <c r="U7" s="30"/>
      <c r="V7" s="30"/>
      <c r="W7" s="111"/>
      <c r="X7" s="79"/>
      <c r="Y7" s="79"/>
      <c r="AD7" s="123"/>
      <c r="AE7" s="381"/>
      <c r="AF7" s="108"/>
      <c r="AG7" s="108"/>
      <c r="AH7" s="184"/>
      <c r="AI7" s="104"/>
    </row>
    <row r="8" customFormat="false" ht="15" hidden="false" customHeight="true" outlineLevel="2" collapsed="false">
      <c r="A8" s="18" t="n">
        <v>3</v>
      </c>
      <c r="B8" s="108" t="n">
        <v>-87233</v>
      </c>
      <c r="C8" s="108" t="n">
        <v>-80452</v>
      </c>
      <c r="D8" s="108"/>
      <c r="E8" s="108"/>
      <c r="F8" s="108" t="n">
        <f aca="false">+C8+E8-B8-D8</f>
        <v>6781</v>
      </c>
      <c r="G8" s="153"/>
      <c r="O8" s="319"/>
      <c r="P8" s="33"/>
      <c r="R8" s="30"/>
      <c r="S8" s="33"/>
      <c r="U8" s="30"/>
      <c r="V8" s="30"/>
      <c r="W8" s="111"/>
      <c r="X8" s="79"/>
      <c r="Y8" s="79"/>
      <c r="AD8" s="123"/>
      <c r="AE8" s="381"/>
      <c r="AF8" s="108"/>
      <c r="AG8" s="108"/>
      <c r="AH8" s="184"/>
      <c r="AI8" s="104"/>
      <c r="AJ8" s="79"/>
    </row>
    <row r="9" customFormat="false" ht="15" hidden="false" customHeight="true" outlineLevel="1" collapsed="false">
      <c r="A9" s="18" t="n">
        <v>4</v>
      </c>
      <c r="B9" s="108" t="n">
        <v>-85416</v>
      </c>
      <c r="C9" s="108" t="n">
        <v>-89090</v>
      </c>
      <c r="D9" s="108"/>
      <c r="E9" s="108"/>
      <c r="F9" s="108" t="n">
        <f aca="false">+C9+E9-B9-D9</f>
        <v>-3674</v>
      </c>
      <c r="G9" s="153"/>
      <c r="O9" s="319"/>
      <c r="P9" s="33"/>
      <c r="R9" s="30"/>
      <c r="S9" s="33"/>
      <c r="U9" s="30"/>
      <c r="V9" s="30"/>
      <c r="W9" s="111"/>
      <c r="X9" s="79"/>
      <c r="Y9" s="79"/>
      <c r="AD9" s="123"/>
      <c r="AE9" s="381"/>
      <c r="AF9" s="108"/>
      <c r="AG9" s="108"/>
      <c r="AH9" s="184"/>
      <c r="AI9" s="104"/>
      <c r="AJ9" s="79"/>
    </row>
    <row r="10" customFormat="false" ht="15" hidden="false" customHeight="true" outlineLevel="2" collapsed="false">
      <c r="A10" s="18" t="n">
        <v>5</v>
      </c>
      <c r="B10" s="108" t="n">
        <v>-79179</v>
      </c>
      <c r="C10" s="108" t="n">
        <v>-79090</v>
      </c>
      <c r="D10" s="108"/>
      <c r="E10" s="108"/>
      <c r="F10" s="108" t="n">
        <f aca="false">+C10+E10-B10-D10</f>
        <v>89</v>
      </c>
      <c r="G10" s="341"/>
      <c r="O10" s="319"/>
      <c r="P10" s="33"/>
      <c r="R10" s="30"/>
      <c r="S10" s="33"/>
      <c r="U10" s="30"/>
      <c r="V10" s="30"/>
      <c r="W10" s="111"/>
      <c r="X10" s="79"/>
      <c r="Y10" s="79"/>
      <c r="AD10" s="123"/>
      <c r="AE10" s="381"/>
      <c r="AF10" s="108"/>
      <c r="AG10" s="108"/>
      <c r="AH10" s="184"/>
      <c r="AI10" s="104"/>
      <c r="AJ10" s="79"/>
    </row>
    <row r="11" customFormat="false" ht="15" hidden="false" customHeight="true" outlineLevel="2" collapsed="false">
      <c r="A11" s="18" t="n">
        <v>6</v>
      </c>
      <c r="B11" s="108" t="n">
        <v>-79663</v>
      </c>
      <c r="C11" s="108" t="n">
        <v>-79090</v>
      </c>
      <c r="D11" s="108"/>
      <c r="E11" s="108"/>
      <c r="F11" s="108" t="n">
        <f aca="false">+C11+E11-B11-D11</f>
        <v>573</v>
      </c>
      <c r="G11" s="341"/>
      <c r="O11" s="319"/>
      <c r="P11" s="33"/>
      <c r="R11" s="30"/>
      <c r="S11" s="33"/>
      <c r="U11" s="30"/>
      <c r="V11" s="30"/>
      <c r="W11" s="111"/>
      <c r="X11" s="79"/>
      <c r="Y11" s="79"/>
      <c r="AD11" s="123"/>
      <c r="AE11" s="381"/>
      <c r="AF11" s="108"/>
      <c r="AG11" s="108"/>
      <c r="AH11" s="184"/>
      <c r="AI11" s="104"/>
      <c r="AJ11" s="79"/>
    </row>
    <row r="12" customFormat="false" ht="15" hidden="false" customHeight="true" outlineLevel="2" collapsed="false">
      <c r="A12" s="18" t="n">
        <v>7</v>
      </c>
      <c r="B12" s="108" t="n">
        <v>-110402</v>
      </c>
      <c r="C12" s="108" t="n">
        <v>-111234</v>
      </c>
      <c r="D12" s="108" t="n">
        <v>-10778</v>
      </c>
      <c r="E12" s="108" t="n">
        <v>-10000</v>
      </c>
      <c r="F12" s="108" t="n">
        <f aca="false">+C12+E12-B12-D12</f>
        <v>-54</v>
      </c>
      <c r="G12" s="341"/>
      <c r="O12" s="319"/>
      <c r="P12" s="33"/>
      <c r="R12" s="30"/>
      <c r="S12" s="33"/>
      <c r="U12" s="30"/>
      <c r="V12" s="30"/>
      <c r="W12" s="111"/>
      <c r="X12" s="79"/>
      <c r="Y12" s="79"/>
      <c r="AD12" s="123"/>
      <c r="AE12" s="381"/>
      <c r="AF12" s="108"/>
      <c r="AG12" s="108"/>
      <c r="AH12" s="184"/>
      <c r="AI12" s="104"/>
      <c r="AJ12" s="79"/>
    </row>
    <row r="13" customFormat="false" ht="15" hidden="false" customHeight="true" outlineLevel="2" collapsed="false">
      <c r="A13" s="18" t="n">
        <v>8</v>
      </c>
      <c r="B13" s="108" t="n">
        <v>-84430</v>
      </c>
      <c r="C13" s="108" t="n">
        <v>-82502</v>
      </c>
      <c r="D13" s="108" t="n">
        <v>-10987</v>
      </c>
      <c r="E13" s="108" t="n">
        <v>-10000</v>
      </c>
      <c r="F13" s="108" t="n">
        <f aca="false">+C13+E13-B13-D13</f>
        <v>2915</v>
      </c>
      <c r="G13" s="341"/>
      <c r="O13" s="319"/>
      <c r="P13" s="33"/>
      <c r="R13" s="30"/>
      <c r="S13" s="33"/>
      <c r="U13" s="30"/>
      <c r="V13" s="30"/>
      <c r="W13" s="111"/>
      <c r="X13" s="79"/>
      <c r="Y13" s="79"/>
      <c r="AD13" s="123"/>
      <c r="AE13" s="381"/>
      <c r="AF13" s="108"/>
      <c r="AG13" s="108"/>
      <c r="AH13" s="184"/>
      <c r="AI13" s="104"/>
      <c r="AJ13" s="79"/>
    </row>
    <row r="14" customFormat="false" ht="15" hidden="false" customHeight="true" outlineLevel="1" collapsed="false">
      <c r="A14" s="18" t="n">
        <v>9</v>
      </c>
      <c r="B14" s="108" t="n">
        <v>-116235</v>
      </c>
      <c r="C14" s="108" t="n">
        <v>-118726</v>
      </c>
      <c r="D14" s="108" t="n">
        <v>-16703</v>
      </c>
      <c r="E14" s="108" t="n">
        <v>-16908</v>
      </c>
      <c r="F14" s="108" t="n">
        <f aca="false">+C14+E14-B14-D14</f>
        <v>-2696</v>
      </c>
      <c r="G14" s="341"/>
      <c r="O14" s="319"/>
      <c r="P14" s="33"/>
      <c r="R14" s="30"/>
      <c r="S14" s="33"/>
      <c r="U14" s="30"/>
      <c r="V14" s="30"/>
      <c r="W14" s="111"/>
      <c r="X14" s="79"/>
      <c r="Y14" s="79"/>
      <c r="AD14" s="123"/>
      <c r="AE14" s="381"/>
      <c r="AF14" s="108"/>
      <c r="AG14" s="108"/>
      <c r="AH14" s="184"/>
      <c r="AI14" s="104"/>
      <c r="AJ14" s="79"/>
    </row>
    <row r="15" customFormat="false" ht="15" hidden="false" customHeight="true" outlineLevel="2" collapsed="false">
      <c r="A15" s="18" t="n">
        <v>10</v>
      </c>
      <c r="B15" s="108" t="n">
        <v>-88622</v>
      </c>
      <c r="C15" s="108" t="n">
        <v>-89290</v>
      </c>
      <c r="D15" s="108" t="n">
        <v>-8183</v>
      </c>
      <c r="E15" s="108" t="n">
        <v>-10000</v>
      </c>
      <c r="F15" s="108" t="n">
        <f aca="false">+C15+E15-B15-D15</f>
        <v>-2485</v>
      </c>
      <c r="G15" s="341"/>
      <c r="O15" s="319"/>
      <c r="P15" s="33"/>
      <c r="R15" s="30"/>
      <c r="AD15" s="123"/>
      <c r="AE15" s="381"/>
      <c r="AF15" s="108"/>
      <c r="AG15" s="108"/>
      <c r="AH15" s="184"/>
      <c r="AI15" s="104"/>
      <c r="AJ15" s="79"/>
    </row>
    <row r="16" customFormat="false" ht="18" hidden="false" customHeight="true" outlineLevel="2" collapsed="false">
      <c r="A16" s="18" t="n">
        <v>11</v>
      </c>
      <c r="B16" s="108" t="n">
        <v>-99079</v>
      </c>
      <c r="C16" s="108" t="n">
        <v>-99924</v>
      </c>
      <c r="D16" s="108"/>
      <c r="E16" s="108"/>
      <c r="F16" s="108" t="n">
        <f aca="false">+C16+E16-B16-D16</f>
        <v>-845</v>
      </c>
      <c r="G16" s="341"/>
      <c r="O16" s="319"/>
      <c r="P16" s="33"/>
      <c r="R16" s="30"/>
      <c r="S16" s="33"/>
      <c r="U16" s="30"/>
      <c r="V16" s="30"/>
      <c r="W16" s="111"/>
      <c r="X16" s="79"/>
      <c r="Y16" s="79"/>
      <c r="AD16" s="123"/>
      <c r="AE16" s="381"/>
      <c r="AF16" s="108"/>
      <c r="AG16" s="108"/>
      <c r="AH16" s="184"/>
      <c r="AI16" s="104"/>
      <c r="AJ16" s="79"/>
    </row>
    <row r="17" customFormat="false" ht="18" hidden="false" customHeight="true" outlineLevel="2" collapsed="false">
      <c r="A17" s="18" t="n">
        <v>12</v>
      </c>
      <c r="B17" s="108" t="n">
        <v>-99644</v>
      </c>
      <c r="C17" s="108" t="n">
        <v>-99924</v>
      </c>
      <c r="D17" s="108"/>
      <c r="E17" s="108"/>
      <c r="F17" s="108" t="n">
        <f aca="false">+C17+E17-B17-D17</f>
        <v>-280</v>
      </c>
      <c r="G17" s="341"/>
      <c r="O17" s="319"/>
      <c r="P17" s="33"/>
      <c r="R17" s="30"/>
      <c r="S17" s="33"/>
      <c r="AD17" s="123"/>
      <c r="AE17" s="381"/>
      <c r="AF17" s="108"/>
      <c r="AG17" s="108"/>
      <c r="AH17" s="184"/>
      <c r="AI17" s="104"/>
      <c r="AJ17" s="79"/>
    </row>
    <row r="18" customFormat="false" ht="18" hidden="false" customHeight="true" outlineLevel="1" collapsed="false">
      <c r="A18" s="18" t="n">
        <v>13</v>
      </c>
      <c r="B18" s="108" t="n">
        <v>-96896</v>
      </c>
      <c r="C18" s="108" t="n">
        <v>-99924</v>
      </c>
      <c r="D18" s="108"/>
      <c r="E18" s="108"/>
      <c r="F18" s="108" t="n">
        <f aca="false">+C18+E18-B18-D18</f>
        <v>-3028</v>
      </c>
      <c r="G18" s="341"/>
      <c r="O18" s="319"/>
      <c r="P18" s="33"/>
      <c r="R18" s="30"/>
      <c r="S18" s="33"/>
      <c r="AD18" s="123"/>
      <c r="AE18" s="381"/>
      <c r="AF18" s="108"/>
      <c r="AG18" s="108"/>
      <c r="AH18" s="184"/>
      <c r="AI18" s="104"/>
      <c r="AJ18" s="79"/>
    </row>
    <row r="19" customFormat="false" ht="18" hidden="false" customHeight="true" outlineLevel="2" collapsed="false">
      <c r="A19" s="18" t="n">
        <v>14</v>
      </c>
      <c r="B19" s="108" t="n">
        <v>-60119</v>
      </c>
      <c r="C19" s="108" t="n">
        <v>-59502</v>
      </c>
      <c r="D19" s="108" t="n">
        <v>-1</v>
      </c>
      <c r="E19" s="108"/>
      <c r="F19" s="108" t="n">
        <f aca="false">+C19+E19-B19-D19</f>
        <v>618</v>
      </c>
      <c r="G19" s="341"/>
      <c r="O19" s="319"/>
      <c r="P19" s="33"/>
      <c r="R19" s="30"/>
      <c r="S19" s="33"/>
      <c r="U19" s="30"/>
      <c r="AD19" s="123"/>
      <c r="AE19" s="381"/>
      <c r="AF19" s="108"/>
      <c r="AG19" s="108"/>
      <c r="AH19" s="184"/>
      <c r="AI19" s="104"/>
      <c r="AJ19" s="79"/>
    </row>
    <row r="20" customFormat="false" ht="18" hidden="false" customHeight="true" outlineLevel="1" collapsed="false">
      <c r="A20" s="18" t="n">
        <v>15</v>
      </c>
      <c r="B20" s="108" t="n">
        <v>-100957</v>
      </c>
      <c r="C20" s="108" t="n">
        <v>-100332</v>
      </c>
      <c r="D20" s="108"/>
      <c r="E20" s="108"/>
      <c r="F20" s="108" t="n">
        <f aca="false">+C20+E20-B20-D20</f>
        <v>625</v>
      </c>
      <c r="G20" s="341"/>
      <c r="O20" s="319"/>
      <c r="P20" s="33"/>
      <c r="R20" s="30"/>
      <c r="S20" s="33"/>
      <c r="U20" s="30"/>
      <c r="AD20" s="123"/>
      <c r="AE20" s="381"/>
      <c r="AF20" s="108"/>
      <c r="AG20" s="108"/>
      <c r="AH20" s="184"/>
      <c r="AI20" s="104"/>
      <c r="AJ20" s="79"/>
    </row>
    <row r="21" customFormat="false" ht="18" hidden="false" customHeight="true" outlineLevel="2" collapsed="false">
      <c r="A21" s="18" t="n">
        <v>16</v>
      </c>
      <c r="B21" s="108" t="n">
        <v>-52592</v>
      </c>
      <c r="C21" s="108" t="n">
        <v>-50761</v>
      </c>
      <c r="D21" s="108"/>
      <c r="E21" s="108"/>
      <c r="F21" s="108" t="n">
        <f aca="false">+C21+E21-B21-D21</f>
        <v>1831</v>
      </c>
      <c r="G21" s="341"/>
      <c r="O21" s="319"/>
      <c r="P21" s="33"/>
      <c r="R21" s="30"/>
      <c r="S21" s="33"/>
      <c r="U21" s="30"/>
      <c r="AD21" s="123"/>
      <c r="AE21" s="381"/>
      <c r="AF21" s="108"/>
      <c r="AG21" s="108"/>
      <c r="AH21" s="184"/>
      <c r="AI21" s="104"/>
      <c r="AJ21" s="79"/>
    </row>
    <row r="22" customFormat="false" ht="18" hidden="false" customHeight="true" outlineLevel="2" collapsed="false">
      <c r="A22" s="18" t="n">
        <v>17</v>
      </c>
      <c r="B22" s="108" t="n">
        <v>-75444</v>
      </c>
      <c r="C22" s="108" t="n">
        <v>-74973</v>
      </c>
      <c r="D22" s="108"/>
      <c r="E22" s="108"/>
      <c r="F22" s="108" t="n">
        <f aca="false">+C22+E22-B22-D22</f>
        <v>471</v>
      </c>
      <c r="G22" s="341"/>
      <c r="O22" s="319"/>
      <c r="P22" s="33"/>
      <c r="R22" s="30"/>
      <c r="S22" s="33"/>
      <c r="U22" s="30"/>
      <c r="V22" s="30"/>
      <c r="W22" s="111"/>
      <c r="X22" s="79"/>
      <c r="Y22" s="79"/>
      <c r="AD22" s="123"/>
      <c r="AE22" s="381"/>
      <c r="AF22" s="108"/>
      <c r="AG22" s="108"/>
      <c r="AH22" s="184"/>
      <c r="AI22" s="104"/>
      <c r="AJ22" s="79"/>
    </row>
    <row r="23" customFormat="false" ht="18" hidden="false" customHeight="true" outlineLevel="1" collapsed="false">
      <c r="A23" s="18" t="n">
        <v>18</v>
      </c>
      <c r="B23" s="108" t="n">
        <v>-37835</v>
      </c>
      <c r="C23" s="108" t="n">
        <v>-37403</v>
      </c>
      <c r="D23" s="108"/>
      <c r="E23" s="108"/>
      <c r="F23" s="108" t="n">
        <f aca="false">+C23+E23-B23-D23</f>
        <v>432</v>
      </c>
      <c r="G23" s="341"/>
      <c r="O23" s="319"/>
      <c r="P23" s="33"/>
      <c r="R23" s="30"/>
      <c r="S23" s="33"/>
      <c r="U23" s="30"/>
      <c r="V23" s="30"/>
      <c r="W23" s="111"/>
      <c r="X23" s="79"/>
      <c r="Y23" s="79"/>
      <c r="AD23" s="123"/>
      <c r="AE23" s="381"/>
      <c r="AF23" s="108"/>
      <c r="AG23" s="108"/>
      <c r="AH23" s="184"/>
      <c r="AI23" s="104"/>
      <c r="AJ23" s="79"/>
    </row>
    <row r="24" customFormat="false" ht="18" hidden="false" customHeight="true" outlineLevel="2" collapsed="false">
      <c r="A24" s="18" t="n">
        <v>19</v>
      </c>
      <c r="B24" s="108" t="n">
        <v>-36917</v>
      </c>
      <c r="C24" s="108" t="n">
        <v>-37403</v>
      </c>
      <c r="D24" s="108"/>
      <c r="E24" s="108"/>
      <c r="F24" s="108" t="n">
        <f aca="false">+C24+E24-B24-D24</f>
        <v>-486</v>
      </c>
      <c r="G24" s="341"/>
      <c r="O24" s="319"/>
      <c r="P24" s="33"/>
      <c r="R24" s="30"/>
      <c r="S24" s="33"/>
      <c r="U24" s="30"/>
      <c r="V24" s="30"/>
      <c r="W24" s="111"/>
      <c r="X24" s="79"/>
      <c r="Y24" s="79"/>
      <c r="AD24" s="123"/>
      <c r="AE24" s="381"/>
      <c r="AF24" s="108"/>
      <c r="AG24" s="108"/>
      <c r="AH24" s="184"/>
      <c r="AI24" s="104"/>
      <c r="AJ24" s="79"/>
    </row>
    <row r="25" customFormat="false" ht="18" hidden="false" customHeight="true" outlineLevel="2" collapsed="false">
      <c r="A25" s="18" t="n">
        <v>20</v>
      </c>
      <c r="B25" s="108" t="n">
        <v>-27048</v>
      </c>
      <c r="C25" s="108" t="n">
        <v>-27119</v>
      </c>
      <c r="D25" s="108"/>
      <c r="E25" s="108"/>
      <c r="F25" s="108" t="n">
        <f aca="false">+C25+E25-B25-D25</f>
        <v>-71</v>
      </c>
      <c r="G25" s="341"/>
      <c r="O25" s="319"/>
      <c r="P25" s="33"/>
      <c r="Q25" s="382"/>
      <c r="R25" s="30"/>
      <c r="S25" s="33"/>
      <c r="U25" s="30"/>
      <c r="V25" s="30"/>
      <c r="W25" s="111"/>
      <c r="X25" s="79"/>
      <c r="Y25" s="79"/>
      <c r="AD25" s="123"/>
      <c r="AE25" s="381"/>
      <c r="AF25" s="108"/>
      <c r="AG25" s="108"/>
      <c r="AH25" s="184"/>
      <c r="AI25" s="104"/>
      <c r="AJ25" s="79"/>
    </row>
    <row r="26" customFormat="false" ht="18" hidden="false" customHeight="true" outlineLevel="2" collapsed="false">
      <c r="A26" s="18" t="n">
        <v>21</v>
      </c>
      <c r="B26" s="108" t="n">
        <v>-70875</v>
      </c>
      <c r="C26" s="108" t="n">
        <v>-74286</v>
      </c>
      <c r="D26" s="108"/>
      <c r="E26" s="108"/>
      <c r="F26" s="108" t="n">
        <f aca="false">+C26+E26-B26-D26</f>
        <v>-3411</v>
      </c>
      <c r="G26" s="341"/>
      <c r="O26" s="319"/>
      <c r="P26" s="33"/>
      <c r="Q26" s="319"/>
      <c r="R26" s="30"/>
      <c r="U26" s="30"/>
      <c r="V26" s="30"/>
      <c r="W26" s="111"/>
      <c r="X26" s="79"/>
      <c r="AD26" s="123"/>
      <c r="AE26" s="381"/>
      <c r="AF26" s="108"/>
      <c r="AG26" s="108"/>
      <c r="AH26" s="184"/>
      <c r="AI26" s="104"/>
      <c r="AJ26" s="79"/>
    </row>
    <row r="27" customFormat="false" ht="18" hidden="false" customHeight="true" outlineLevel="2" collapsed="false">
      <c r="A27" s="18" t="n">
        <v>22</v>
      </c>
      <c r="B27" s="108" t="n">
        <v>-59872</v>
      </c>
      <c r="C27" s="108" t="n">
        <v>-59332</v>
      </c>
      <c r="D27" s="108"/>
      <c r="E27" s="108"/>
      <c r="F27" s="108" t="n">
        <f aca="false">+C27+E27-B27-D27</f>
        <v>540</v>
      </c>
      <c r="G27" s="341"/>
      <c r="O27" s="319"/>
      <c r="P27" s="33"/>
      <c r="Q27" s="319"/>
      <c r="R27" s="30"/>
      <c r="U27" s="30"/>
      <c r="V27" s="30"/>
      <c r="W27" s="111"/>
      <c r="X27" s="335"/>
      <c r="AD27" s="123"/>
      <c r="AE27" s="381"/>
      <c r="AF27" s="108"/>
      <c r="AG27" s="108"/>
      <c r="AH27" s="184"/>
      <c r="AI27" s="104"/>
      <c r="AJ27" s="79"/>
    </row>
    <row r="28" customFormat="false" ht="18" hidden="false" customHeight="true" outlineLevel="1" collapsed="false">
      <c r="A28" s="18" t="n">
        <v>23</v>
      </c>
      <c r="B28" s="108" t="n">
        <v>-84167</v>
      </c>
      <c r="C28" s="108" t="n">
        <v>-87235</v>
      </c>
      <c r="D28" s="108"/>
      <c r="E28" s="108"/>
      <c r="F28" s="108" t="n">
        <f aca="false">+C28+E28-B28-D28</f>
        <v>-3068</v>
      </c>
      <c r="G28" s="341"/>
      <c r="O28" s="319"/>
      <c r="P28" s="33"/>
      <c r="Q28" s="319"/>
      <c r="R28" s="30"/>
      <c r="U28" s="30"/>
      <c r="V28" s="30"/>
      <c r="W28" s="111"/>
      <c r="X28" s="341"/>
      <c r="AD28" s="123"/>
      <c r="AE28" s="381"/>
      <c r="AF28" s="108"/>
      <c r="AG28" s="108"/>
      <c r="AH28" s="184"/>
      <c r="AI28" s="104"/>
      <c r="AJ28" s="79"/>
    </row>
    <row r="29" customFormat="false" ht="18" hidden="false" customHeight="true" outlineLevel="2" collapsed="false">
      <c r="A29" s="18" t="n">
        <v>24</v>
      </c>
      <c r="B29" s="108" t="n">
        <v>-53411</v>
      </c>
      <c r="C29" s="108" t="n">
        <v>-54502</v>
      </c>
      <c r="D29" s="108"/>
      <c r="E29" s="108"/>
      <c r="F29" s="108" t="n">
        <f aca="false">+C29+E29-B29-D29</f>
        <v>-1091</v>
      </c>
      <c r="G29" s="341"/>
      <c r="P29" s="33"/>
      <c r="Q29" s="319"/>
      <c r="R29" s="30"/>
      <c r="U29" s="30"/>
      <c r="V29" s="30"/>
      <c r="W29" s="111"/>
      <c r="X29" s="383"/>
      <c r="AD29" s="123"/>
      <c r="AE29" s="381"/>
      <c r="AF29" s="108"/>
      <c r="AG29" s="108"/>
      <c r="AH29" s="184"/>
      <c r="AI29" s="104"/>
      <c r="AJ29" s="79"/>
    </row>
    <row r="30" customFormat="false" ht="18" hidden="false" customHeight="true" outlineLevel="2" collapsed="false">
      <c r="A30" s="18" t="n">
        <v>25</v>
      </c>
      <c r="B30" s="108" t="n">
        <v>-60969</v>
      </c>
      <c r="C30" s="108" t="n">
        <v>-61097</v>
      </c>
      <c r="D30" s="108"/>
      <c r="E30" s="108"/>
      <c r="F30" s="108" t="n">
        <f aca="false">+C30+E30-B30-D30</f>
        <v>-128</v>
      </c>
      <c r="G30" s="341"/>
      <c r="AD30" s="123"/>
      <c r="AE30" s="381"/>
      <c r="AF30" s="108"/>
      <c r="AG30" s="108"/>
      <c r="AH30" s="184"/>
      <c r="AI30" s="104"/>
      <c r="AJ30" s="79"/>
    </row>
    <row r="31" customFormat="false" ht="18" hidden="false" customHeight="true" outlineLevel="2" collapsed="false">
      <c r="A31" s="18" t="n">
        <v>26</v>
      </c>
      <c r="B31" s="108" t="n">
        <v>-60055</v>
      </c>
      <c r="C31" s="108" t="n">
        <v>-60522</v>
      </c>
      <c r="D31" s="108"/>
      <c r="E31" s="108"/>
      <c r="F31" s="108" t="n">
        <f aca="false">+C31+E31-B31-D31</f>
        <v>-467</v>
      </c>
      <c r="G31" s="341"/>
      <c r="Q31" s="319"/>
      <c r="R31" s="30"/>
      <c r="S31" s="30"/>
      <c r="T31" s="30"/>
      <c r="U31" s="111"/>
      <c r="V31" s="79"/>
      <c r="AD31" s="123"/>
      <c r="AE31" s="381"/>
      <c r="AF31" s="108"/>
      <c r="AG31" s="108"/>
      <c r="AH31" s="184"/>
      <c r="AI31" s="104"/>
      <c r="AJ31" s="79"/>
    </row>
    <row r="32" customFormat="false" ht="18" hidden="false" customHeight="true" outlineLevel="2" collapsed="false">
      <c r="A32" s="18" t="n">
        <v>27</v>
      </c>
      <c r="B32" s="108" t="n">
        <v>-71255</v>
      </c>
      <c r="C32" s="108" t="n">
        <v>-70522</v>
      </c>
      <c r="D32" s="108"/>
      <c r="E32" s="108"/>
      <c r="F32" s="108" t="n">
        <f aca="false">+C32+E32-B32-D32</f>
        <v>733</v>
      </c>
      <c r="G32" s="341"/>
      <c r="Q32" s="319"/>
      <c r="R32" s="30"/>
      <c r="S32" s="30"/>
      <c r="T32" s="30"/>
      <c r="U32" s="111"/>
      <c r="V32" s="79"/>
      <c r="AD32" s="123"/>
      <c r="AE32" s="381"/>
      <c r="AF32" s="108"/>
      <c r="AG32" s="108"/>
      <c r="AH32" s="184"/>
      <c r="AI32" s="104"/>
      <c r="AJ32" s="79"/>
    </row>
    <row r="33" customFormat="false" ht="18" hidden="false" customHeight="true" outlineLevel="2" collapsed="false">
      <c r="A33" s="18" t="n">
        <v>28</v>
      </c>
      <c r="B33" s="108" t="n">
        <v>-105280</v>
      </c>
      <c r="C33" s="108" t="n">
        <v>-111971</v>
      </c>
      <c r="D33" s="108"/>
      <c r="E33" s="108"/>
      <c r="F33" s="108" t="n">
        <f aca="false">+C33+E33-B33-D33</f>
        <v>-6691</v>
      </c>
      <c r="G33" s="341"/>
      <c r="Q33" s="319"/>
      <c r="R33" s="30"/>
      <c r="S33" s="30"/>
      <c r="T33" s="30"/>
      <c r="U33" s="111"/>
      <c r="V33" s="79"/>
      <c r="AD33" s="123"/>
      <c r="AE33" s="381"/>
      <c r="AF33" s="108"/>
      <c r="AG33" s="108"/>
      <c r="AH33" s="184"/>
      <c r="AI33" s="104"/>
      <c r="AJ33" s="79"/>
    </row>
    <row r="34" customFormat="false" ht="18" hidden="false" customHeight="true" outlineLevel="2" collapsed="false">
      <c r="A34" s="18" t="n">
        <v>29</v>
      </c>
      <c r="B34" s="108" t="n">
        <v>-56502</v>
      </c>
      <c r="C34" s="108" t="n">
        <v>-45805</v>
      </c>
      <c r="D34" s="108"/>
      <c r="E34" s="108"/>
      <c r="F34" s="108" t="n">
        <f aca="false">+C34+E34-B34-D34</f>
        <v>10697</v>
      </c>
      <c r="G34" s="341"/>
      <c r="Q34" s="319"/>
      <c r="R34" s="30"/>
      <c r="S34" s="30"/>
      <c r="T34" s="30"/>
      <c r="U34" s="111"/>
      <c r="V34" s="79"/>
      <c r="AD34" s="123"/>
      <c r="AE34" s="381"/>
      <c r="AF34" s="108"/>
      <c r="AG34" s="108"/>
      <c r="AH34" s="184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1"/>
      <c r="R35" s="30"/>
      <c r="S35" s="30"/>
      <c r="T35" s="30"/>
      <c r="U35" s="111"/>
      <c r="V35" s="79"/>
      <c r="AD35" s="123"/>
      <c r="AE35" s="381"/>
      <c r="AF35" s="108"/>
      <c r="AG35" s="108"/>
      <c r="AH35" s="184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1"/>
      <c r="R36" s="30"/>
      <c r="S36" s="30"/>
      <c r="T36" s="30"/>
      <c r="U36" s="111"/>
      <c r="V36" s="79"/>
      <c r="AD36" s="123"/>
      <c r="AE36" s="381"/>
      <c r="AF36" s="108"/>
      <c r="AG36" s="108"/>
      <c r="AH36" s="184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-2215914</v>
      </c>
      <c r="C37" s="108" t="n">
        <f aca="false">SUM(C6:C36)</f>
        <v>-2219843</v>
      </c>
      <c r="D37" s="108" t="n">
        <f aca="false">SUM(D6:D36)</f>
        <v>-46652</v>
      </c>
      <c r="E37" s="108" t="n">
        <f aca="false">SUM(E6:E36)</f>
        <v>-46908</v>
      </c>
      <c r="F37" s="108" t="n">
        <f aca="false">SUM(F6:F36)</f>
        <v>-4185</v>
      </c>
      <c r="G37" s="384"/>
      <c r="R37" s="30"/>
      <c r="S37" s="30"/>
      <c r="T37" s="30"/>
      <c r="U37" s="111"/>
      <c r="V37" s="79"/>
      <c r="AD37" s="123"/>
      <c r="AE37" s="381"/>
      <c r="AF37" s="108"/>
      <c r="AG37" s="108"/>
      <c r="AH37" s="184"/>
      <c r="AI37" s="104"/>
      <c r="AJ37" s="79"/>
    </row>
    <row r="38" customFormat="false" ht="18" hidden="false" customHeight="true" outlineLevel="1" collapsed="false">
      <c r="A38" s="192" t="s">
        <v>1</v>
      </c>
      <c r="E38" s="30"/>
      <c r="F38" s="103" t="n">
        <f aca="false">+summary!H4</f>
        <v>2.77</v>
      </c>
      <c r="G38" s="341"/>
      <c r="R38" s="30"/>
      <c r="S38" s="30"/>
      <c r="T38" s="30"/>
      <c r="U38" s="111"/>
      <c r="V38" s="79"/>
      <c r="AD38" s="123"/>
      <c r="AE38" s="381"/>
      <c r="AF38" s="108"/>
      <c r="AG38" s="108"/>
      <c r="AH38" s="184"/>
      <c r="AI38" s="104"/>
      <c r="AJ38" s="79"/>
    </row>
    <row r="39" customFormat="false" ht="18" hidden="false" customHeight="true" outlineLevel="2" collapsed="false">
      <c r="A39" s="192"/>
      <c r="E39" s="30"/>
      <c r="F39" s="103" t="n">
        <f aca="false">+F38*F37</f>
        <v>-11592.45</v>
      </c>
      <c r="G39" s="385"/>
      <c r="R39" s="30"/>
      <c r="S39" s="30"/>
      <c r="T39" s="30"/>
      <c r="U39" s="30"/>
      <c r="AD39" s="123"/>
      <c r="AE39" s="381"/>
      <c r="AF39" s="108"/>
      <c r="AG39" s="108"/>
      <c r="AH39" s="184"/>
      <c r="AI39" s="104"/>
      <c r="AJ39" s="79"/>
    </row>
    <row r="40" customFormat="false" ht="18" hidden="false" customHeight="true" outlineLevel="1" collapsed="false">
      <c r="A40" s="386" t="n">
        <v>37103</v>
      </c>
      <c r="E40" s="30"/>
      <c r="F40" s="387" t="n">
        <v>469765.91</v>
      </c>
      <c r="G40" s="385"/>
      <c r="R40" s="30"/>
      <c r="S40" s="30"/>
      <c r="T40" s="30"/>
      <c r="U40" s="30"/>
      <c r="AD40" s="123"/>
      <c r="AE40" s="381"/>
      <c r="AF40" s="108"/>
      <c r="AG40" s="108"/>
      <c r="AH40" s="184"/>
      <c r="AI40" s="104"/>
      <c r="AJ40" s="79"/>
    </row>
    <row r="41" customFormat="false" ht="18" hidden="false" customHeight="true" outlineLevel="0" collapsed="false">
      <c r="A41" s="386" t="n">
        <v>37132</v>
      </c>
      <c r="E41" s="30"/>
      <c r="F41" s="103" t="n">
        <f aca="false">+F40+F39</f>
        <v>458173.46</v>
      </c>
      <c r="G41" s="385"/>
      <c r="R41" s="30"/>
      <c r="S41" s="30"/>
      <c r="T41" s="30"/>
      <c r="U41" s="30"/>
      <c r="AD41" s="123"/>
      <c r="AE41" s="381"/>
      <c r="AF41" s="108"/>
      <c r="AG41" s="108"/>
      <c r="AH41" s="184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1"/>
      <c r="AF42" s="108"/>
      <c r="AG42" s="108"/>
      <c r="AH42" s="184"/>
      <c r="AI42" s="104"/>
      <c r="AJ42" s="79"/>
    </row>
    <row r="43" customFormat="false" ht="18" hidden="false" customHeight="true" outlineLevel="0" collapsed="false">
      <c r="C43" s="111"/>
      <c r="D43" s="388"/>
      <c r="F43" s="28"/>
      <c r="G43" s="341"/>
      <c r="R43" s="30"/>
      <c r="S43" s="30"/>
      <c r="T43" s="30"/>
      <c r="U43" s="30"/>
      <c r="AD43" s="123"/>
      <c r="AE43" s="381"/>
      <c r="AF43" s="108"/>
      <c r="AG43" s="108"/>
      <c r="AH43" s="184"/>
      <c r="AI43" s="104"/>
      <c r="AJ43" s="79"/>
    </row>
    <row r="44" customFormat="false" ht="18" hidden="false" customHeight="true" outlineLevel="0" collapsed="false">
      <c r="C44" s="111"/>
      <c r="D44" s="388"/>
      <c r="F44" s="28"/>
      <c r="G44" s="341"/>
      <c r="AD44" s="123"/>
      <c r="AE44" s="381"/>
      <c r="AF44" s="108"/>
      <c r="AG44" s="108"/>
      <c r="AH44" s="184"/>
      <c r="AI44" s="104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41"/>
      <c r="AD45" s="123"/>
      <c r="AE45" s="381"/>
      <c r="AF45" s="108"/>
      <c r="AG45" s="108"/>
      <c r="AH45" s="184"/>
      <c r="AI45" s="104"/>
      <c r="AJ45" s="79"/>
    </row>
    <row r="46" customFormat="false" ht="18" hidden="false" customHeight="true" outlineLevel="0" collapsed="false">
      <c r="A46" s="124" t="n">
        <f aca="false">+A40</f>
        <v>37103</v>
      </c>
      <c r="B46" s="9"/>
      <c r="C46" s="9"/>
      <c r="D46" s="301" t="n">
        <v>29027</v>
      </c>
      <c r="F46" s="28"/>
      <c r="G46" s="341"/>
      <c r="AD46" s="123"/>
      <c r="AE46" s="381"/>
      <c r="AF46" s="108"/>
      <c r="AG46" s="108"/>
      <c r="AH46" s="184"/>
      <c r="AI46" s="104"/>
      <c r="AJ46" s="79"/>
    </row>
    <row r="47" customFormat="false" ht="18" hidden="false" customHeight="true" outlineLevel="0" collapsed="false">
      <c r="A47" s="124" t="n">
        <f aca="false">+A41</f>
        <v>37132</v>
      </c>
      <c r="B47" s="9"/>
      <c r="C47" s="9"/>
      <c r="D47" s="37" t="n">
        <f aca="false">+F37</f>
        <v>-4185</v>
      </c>
      <c r="F47" s="28"/>
      <c r="G47" s="341"/>
      <c r="AD47" s="123"/>
      <c r="AE47" s="381"/>
      <c r="AF47" s="108"/>
      <c r="AG47" s="108"/>
      <c r="AH47" s="184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24842</v>
      </c>
      <c r="F48" s="28"/>
      <c r="G48" s="341"/>
      <c r="AD48" s="123"/>
      <c r="AE48" s="381"/>
      <c r="AF48" s="108"/>
      <c r="AG48" s="108"/>
      <c r="AH48" s="184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1"/>
      <c r="AD49" s="123"/>
      <c r="AE49" s="381"/>
      <c r="AF49" s="108"/>
      <c r="AG49" s="108"/>
      <c r="AH49" s="184"/>
      <c r="AI49" s="104"/>
      <c r="AJ49" s="79"/>
    </row>
    <row r="50" customFormat="false" ht="18" hidden="false" customHeight="true" outlineLevel="0" collapsed="false">
      <c r="C50" s="341"/>
      <c r="F50" s="28"/>
      <c r="G50" s="28"/>
      <c r="AD50" s="123"/>
      <c r="AE50" s="381"/>
      <c r="AF50" s="108"/>
      <c r="AG50" s="108"/>
      <c r="AH50" s="184"/>
      <c r="AI50" s="389"/>
      <c r="AJ50" s="79"/>
    </row>
    <row r="51" customFormat="false" ht="21.95" hidden="false" customHeight="true" outlineLevel="0" collapsed="false">
      <c r="AD51" s="123"/>
      <c r="AE51" s="381"/>
      <c r="AF51" s="108"/>
      <c r="AG51" s="108"/>
      <c r="AH51" s="184"/>
      <c r="AI51" s="390"/>
    </row>
    <row r="52" customFormat="false" ht="18" hidden="false" customHeight="true" outlineLevel="0" collapsed="false">
      <c r="AD52" s="123"/>
      <c r="AE52" s="381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1"/>
    </row>
    <row r="55" customFormat="false" ht="17.1" hidden="false" customHeight="true" outlineLevel="0" collapsed="false">
      <c r="AD55" s="391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0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0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0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0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0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0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0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0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0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0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2"/>
      <c r="D69" s="108"/>
      <c r="R69" s="30"/>
      <c r="S69" s="30"/>
      <c r="T69" s="30"/>
      <c r="U69" s="30"/>
      <c r="AD69" s="123"/>
      <c r="AE69" s="380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0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0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0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0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0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0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2"/>
      <c r="D76" s="108"/>
      <c r="R76" s="30"/>
      <c r="S76" s="30"/>
      <c r="T76" s="30"/>
      <c r="U76" s="30"/>
      <c r="AD76" s="123"/>
      <c r="AE76" s="380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2"/>
      <c r="D77" s="108"/>
      <c r="R77" s="30"/>
      <c r="S77" s="30"/>
      <c r="T77" s="30"/>
      <c r="U77" s="30"/>
      <c r="AD77" s="123"/>
      <c r="AE77" s="380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3"/>
      <c r="D78" s="108"/>
      <c r="R78" s="30"/>
      <c r="S78" s="30"/>
      <c r="T78" s="30"/>
      <c r="U78" s="30"/>
      <c r="AD78" s="123"/>
      <c r="AE78" s="380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4"/>
      <c r="R79" s="30"/>
      <c r="S79" s="30"/>
      <c r="T79" s="30"/>
      <c r="U79" s="30"/>
      <c r="AD79" s="123"/>
      <c r="AE79" s="380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0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2"/>
      <c r="D81" s="108"/>
      <c r="R81" s="30"/>
      <c r="S81" s="30"/>
      <c r="T81" s="30"/>
      <c r="U81" s="30"/>
      <c r="AD81" s="123"/>
      <c r="AE81" s="380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2"/>
      <c r="D82" s="108"/>
      <c r="R82" s="30"/>
      <c r="S82" s="30"/>
      <c r="T82" s="30"/>
      <c r="U82" s="30"/>
      <c r="AD82" s="123"/>
      <c r="AE82" s="380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2"/>
      <c r="D83" s="108"/>
      <c r="R83" s="30"/>
      <c r="S83" s="30"/>
      <c r="T83" s="30"/>
      <c r="U83" s="30"/>
      <c r="AD83" s="123"/>
      <c r="AE83" s="380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3"/>
      <c r="D84" s="108"/>
      <c r="R84" s="30"/>
      <c r="S84" s="30"/>
      <c r="T84" s="30"/>
      <c r="U84" s="30"/>
      <c r="AD84" s="391"/>
      <c r="AE84" s="380"/>
      <c r="AF84" s="108"/>
      <c r="AG84" s="108"/>
      <c r="AH84" s="108"/>
      <c r="AI84" s="104"/>
      <c r="AJ84" s="395"/>
    </row>
    <row r="85" customFormat="false" ht="15" hidden="false" customHeight="true" outlineLevel="0" collapsed="false">
      <c r="C85" s="394"/>
      <c r="R85" s="30"/>
      <c r="S85" s="30"/>
      <c r="T85" s="30"/>
      <c r="U85" s="30"/>
      <c r="AD85" s="123"/>
      <c r="AE85" s="381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1"/>
      <c r="AE86" s="381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69"/>
      <c r="R87" s="30"/>
      <c r="S87" s="30"/>
      <c r="T87" s="30"/>
      <c r="U87" s="30"/>
      <c r="AD87" s="396"/>
      <c r="AE87" s="381"/>
      <c r="AF87" s="108"/>
      <c r="AG87" s="108"/>
      <c r="AH87" s="108"/>
      <c r="AI87" s="397"/>
      <c r="AJ87" s="341"/>
    </row>
    <row r="88" customFormat="false" ht="24.95" hidden="false" customHeight="true" outlineLevel="0" collapsed="false">
      <c r="C88" s="392"/>
      <c r="D88" s="108"/>
      <c r="R88" s="30"/>
      <c r="S88" s="30"/>
      <c r="T88" s="30"/>
      <c r="U88" s="30"/>
      <c r="AD88" s="144"/>
      <c r="AJ88" s="341"/>
    </row>
    <row r="89" customFormat="false" ht="15" hidden="false" customHeight="true" outlineLevel="0" collapsed="false">
      <c r="D89" s="108"/>
      <c r="E89" s="117"/>
      <c r="F89" s="19"/>
      <c r="G89" s="18"/>
      <c r="H89" s="349"/>
      <c r="I89" s="108"/>
      <c r="J89" s="108"/>
      <c r="K89" s="18"/>
      <c r="L89" s="349"/>
      <c r="M89" s="108"/>
      <c r="N89" s="108"/>
      <c r="O89" s="18"/>
      <c r="P89" s="349"/>
      <c r="Q89" s="108"/>
      <c r="R89" s="108"/>
      <c r="S89" s="123"/>
      <c r="T89" s="349"/>
      <c r="U89" s="108"/>
      <c r="V89" s="108"/>
      <c r="AD89" s="398"/>
      <c r="AJ89" s="341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8"/>
      <c r="AJ90" s="341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8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8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8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8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8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8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9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9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9"/>
      <c r="AD101" s="18"/>
      <c r="AE101" s="380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81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0"/>
      <c r="AD103" s="123"/>
      <c r="AE103" s="381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9"/>
      <c r="AD104" s="123"/>
      <c r="AE104" s="381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9"/>
      <c r="AD105" s="123"/>
      <c r="AE105" s="381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9"/>
      <c r="AD106" s="123"/>
      <c r="AE106" s="381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81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81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81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1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1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1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1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1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1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1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1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1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1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1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1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1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1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1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6"/>
      <c r="AD125" s="123"/>
      <c r="AE125" s="381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49"/>
      <c r="U126" s="108"/>
      <c r="V126" s="108"/>
      <c r="X126" s="156"/>
      <c r="AD126" s="123"/>
      <c r="AE126" s="381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6"/>
      <c r="AD127" s="123"/>
      <c r="AE127" s="381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81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6"/>
      <c r="AD129" s="123"/>
      <c r="AE129" s="381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6"/>
      <c r="AD130" s="123"/>
      <c r="AE130" s="381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399"/>
      <c r="AD131" s="123"/>
      <c r="AE131" s="381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399"/>
      <c r="AD132" s="123"/>
      <c r="AE132" s="381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6"/>
      <c r="AD133" s="123"/>
      <c r="AE133" s="381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2"/>
      <c r="D134" s="154"/>
      <c r="E134" s="117"/>
      <c r="F134" s="19"/>
      <c r="G134" s="19"/>
      <c r="R134" s="30"/>
      <c r="S134" s="18"/>
      <c r="T134" s="108"/>
      <c r="U134" s="108"/>
      <c r="V134" s="108"/>
      <c r="X134" s="399"/>
      <c r="AD134" s="123"/>
      <c r="AE134" s="381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1"/>
      <c r="D135" s="108"/>
      <c r="E135" s="117"/>
      <c r="F135" s="19"/>
      <c r="G135" s="19"/>
      <c r="R135" s="30"/>
      <c r="S135" s="18"/>
      <c r="T135" s="108"/>
      <c r="U135" s="108"/>
      <c r="V135" s="108"/>
      <c r="X135" s="399"/>
      <c r="AD135" s="123"/>
      <c r="AE135" s="381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6"/>
      <c r="AD136" s="123"/>
      <c r="AE136" s="381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399"/>
      <c r="AD137" s="123"/>
      <c r="AE137" s="381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6"/>
      <c r="AD138" s="123"/>
      <c r="AE138" s="381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6"/>
      <c r="AD139" s="123"/>
      <c r="AE139" s="381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399"/>
      <c r="AD140" s="123"/>
      <c r="AE140" s="381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399"/>
      <c r="AD141" s="123"/>
      <c r="AE141" s="381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6"/>
      <c r="AD142" s="123"/>
      <c r="AE142" s="381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1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1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1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1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1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1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1"/>
      <c r="AF149" s="108"/>
      <c r="AG149" s="186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1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1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1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1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1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1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1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1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1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1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1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1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1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1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1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1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1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49"/>
      <c r="T167" s="108"/>
      <c r="U167" s="108"/>
      <c r="AD167" s="123"/>
      <c r="AE167" s="381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1"/>
      <c r="AF168" s="186"/>
      <c r="AG168" s="186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2"/>
      <c r="AB169" s="282"/>
      <c r="AC169" s="282"/>
      <c r="AD169" s="123"/>
      <c r="AE169" s="381"/>
      <c r="AF169" s="186"/>
      <c r="AG169" s="186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2"/>
      <c r="AB170" s="282"/>
      <c r="AC170" s="282"/>
      <c r="AD170" s="123"/>
      <c r="AE170" s="381"/>
      <c r="AF170" s="186"/>
      <c r="AG170" s="186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2"/>
      <c r="AB171" s="282"/>
      <c r="AC171" s="282"/>
      <c r="AD171" s="123"/>
      <c r="AE171" s="381"/>
      <c r="AF171" s="186"/>
      <c r="AG171" s="186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2"/>
      <c r="AB172" s="282"/>
      <c r="AC172" s="282"/>
      <c r="AD172" s="123"/>
      <c r="AE172" s="381"/>
      <c r="AF172" s="108"/>
      <c r="AG172" s="186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2"/>
      <c r="AB173" s="282"/>
      <c r="AC173" s="282"/>
      <c r="AD173" s="123"/>
      <c r="AE173" s="381"/>
      <c r="AF173" s="186"/>
      <c r="AG173" s="186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2"/>
      <c r="AB174" s="282"/>
      <c r="AC174" s="282"/>
      <c r="AD174" s="123"/>
      <c r="AE174" s="381"/>
      <c r="AF174" s="186"/>
      <c r="AG174" s="186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2"/>
      <c r="AB175" s="282"/>
      <c r="AC175" s="282"/>
      <c r="AD175" s="123"/>
      <c r="AE175" s="381"/>
      <c r="AF175" s="108"/>
      <c r="AG175" s="186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2"/>
      <c r="AB176" s="282"/>
      <c r="AC176" s="282"/>
      <c r="AD176" s="123"/>
      <c r="AE176" s="381"/>
      <c r="AF176" s="108"/>
      <c r="AG176" s="186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2"/>
      <c r="AB177" s="282"/>
      <c r="AC177" s="282"/>
      <c r="AD177" s="123"/>
      <c r="AE177" s="381"/>
      <c r="AF177" s="108"/>
      <c r="AG177" s="186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2"/>
      <c r="AB178" s="282"/>
      <c r="AC178" s="282"/>
      <c r="AD178" s="123"/>
      <c r="AE178" s="381"/>
      <c r="AF178" s="108"/>
      <c r="AG178" s="186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2"/>
      <c r="AB179" s="282"/>
      <c r="AC179" s="282"/>
      <c r="AD179" s="123"/>
      <c r="AE179" s="381"/>
      <c r="AF179" s="108"/>
      <c r="AG179" s="186"/>
      <c r="AH179" s="108"/>
      <c r="AI179" s="104"/>
      <c r="AJ179" s="103"/>
    </row>
    <row r="180" customFormat="false" ht="15" hidden="false" customHeight="true" outlineLevel="0" collapsed="false">
      <c r="C180" s="392"/>
      <c r="D180" s="154"/>
      <c r="E180" s="117"/>
      <c r="R180" s="18"/>
      <c r="S180" s="108"/>
      <c r="T180" s="108"/>
      <c r="U180" s="108"/>
      <c r="X180" s="282"/>
      <c r="Y180" s="282"/>
      <c r="Z180" s="282"/>
      <c r="AA180" s="402"/>
      <c r="AB180" s="282"/>
      <c r="AC180" s="282"/>
      <c r="AD180" s="123"/>
      <c r="AE180" s="381"/>
      <c r="AF180" s="108"/>
      <c r="AG180" s="186"/>
      <c r="AH180" s="108"/>
      <c r="AI180" s="104"/>
      <c r="AJ180" s="103"/>
    </row>
    <row r="181" customFormat="false" ht="15" hidden="false" customHeight="true" outlineLevel="0" collapsed="false">
      <c r="C181" s="392"/>
      <c r="D181" s="154"/>
      <c r="E181" s="117"/>
      <c r="R181" s="18"/>
      <c r="S181" s="108"/>
      <c r="T181" s="108"/>
      <c r="U181" s="108"/>
      <c r="X181" s="282"/>
      <c r="Y181" s="282"/>
      <c r="Z181" s="282"/>
      <c r="AA181" s="402"/>
      <c r="AB181" s="282"/>
      <c r="AC181" s="282"/>
      <c r="AD181" s="123"/>
      <c r="AE181" s="381"/>
      <c r="AF181" s="108"/>
      <c r="AG181" s="186"/>
      <c r="AH181" s="108"/>
      <c r="AI181" s="104"/>
      <c r="AJ181" s="103"/>
    </row>
    <row r="182" customFormat="false" ht="15" hidden="false" customHeight="true" outlineLevel="0" collapsed="false">
      <c r="C182" s="392"/>
      <c r="D182" s="154"/>
      <c r="E182" s="117"/>
      <c r="R182" s="18"/>
      <c r="S182" s="108"/>
      <c r="T182" s="108"/>
      <c r="U182" s="108"/>
      <c r="X182" s="282"/>
      <c r="Y182" s="282"/>
      <c r="Z182" s="282"/>
      <c r="AA182" s="402"/>
      <c r="AB182" s="282"/>
      <c r="AC182" s="282"/>
      <c r="AD182" s="123"/>
      <c r="AE182" s="381"/>
      <c r="AF182" s="108"/>
      <c r="AG182" s="186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2"/>
      <c r="AB183" s="282"/>
      <c r="AC183" s="282"/>
      <c r="AD183" s="123"/>
      <c r="AE183" s="381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2"/>
      <c r="AB184" s="282"/>
      <c r="AC184" s="282"/>
      <c r="AD184" s="123"/>
      <c r="AE184" s="381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2"/>
      <c r="AB185" s="282"/>
      <c r="AC185" s="282"/>
      <c r="AD185" s="123"/>
      <c r="AE185" s="381"/>
      <c r="AF185" s="108"/>
      <c r="AG185" s="186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2"/>
      <c r="AB186" s="282"/>
      <c r="AC186" s="282"/>
      <c r="AD186" s="123"/>
      <c r="AE186" s="381"/>
      <c r="AF186" s="108"/>
      <c r="AG186" s="186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2"/>
      <c r="AB187" s="282"/>
      <c r="AC187" s="282"/>
      <c r="AD187" s="123"/>
      <c r="AE187" s="381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2"/>
      <c r="AB188" s="282"/>
      <c r="AC188" s="282"/>
      <c r="AD188" s="123"/>
      <c r="AE188" s="381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2"/>
      <c r="AB189" s="282"/>
      <c r="AC189" s="282"/>
      <c r="AD189" s="123"/>
      <c r="AE189" s="381"/>
      <c r="AF189" s="186"/>
      <c r="AG189" s="186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2"/>
      <c r="AB190" s="282"/>
      <c r="AC190" s="282"/>
      <c r="AD190" s="123"/>
      <c r="AE190" s="381"/>
      <c r="AF190" s="186"/>
      <c r="AG190" s="186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2"/>
      <c r="AB191" s="282"/>
      <c r="AC191" s="282"/>
      <c r="AD191" s="123"/>
      <c r="AE191" s="381"/>
      <c r="AF191" s="186"/>
      <c r="AG191" s="186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2"/>
      <c r="AB192" s="282"/>
      <c r="AC192" s="282"/>
      <c r="AD192" s="123"/>
      <c r="AE192" s="381"/>
      <c r="AF192" s="186"/>
      <c r="AG192" s="186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2"/>
      <c r="AB193" s="282"/>
      <c r="AC193" s="282"/>
      <c r="AD193" s="123"/>
      <c r="AE193" s="381"/>
      <c r="AF193" s="108"/>
      <c r="AG193" s="186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2"/>
      <c r="AB194" s="282"/>
      <c r="AC194" s="282"/>
      <c r="AD194" s="123"/>
      <c r="AE194" s="381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2"/>
      <c r="AB195" s="282"/>
      <c r="AC195" s="282"/>
      <c r="AD195" s="123"/>
      <c r="AE195" s="381"/>
      <c r="AF195" s="186"/>
      <c r="AG195" s="186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2"/>
      <c r="AB196" s="282"/>
      <c r="AC196" s="282"/>
      <c r="AD196" s="123"/>
      <c r="AE196" s="381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2"/>
      <c r="AB197" s="282"/>
      <c r="AC197" s="282"/>
      <c r="AD197" s="123"/>
      <c r="AE197" s="381"/>
      <c r="AF197" s="186"/>
      <c r="AG197" s="186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1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1"/>
      <c r="AF199" s="186"/>
      <c r="AG199" s="186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1"/>
      <c r="AF200" s="108"/>
      <c r="AG200" s="186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1"/>
      <c r="AF201" s="186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1"/>
      <c r="AF202" s="186"/>
      <c r="AG202" s="186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1"/>
      <c r="AF203" s="186"/>
      <c r="AG203" s="186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1"/>
      <c r="AF204" s="186"/>
      <c r="AG204" s="186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1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1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49"/>
      <c r="T207" s="108"/>
      <c r="U207" s="108"/>
      <c r="AD207" s="123"/>
      <c r="AE207" s="381"/>
      <c r="AF207" s="186"/>
      <c r="AG207" s="186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1"/>
      <c r="AF208" s="186"/>
      <c r="AG208" s="186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1"/>
      <c r="AF209" s="186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1"/>
      <c r="AF210" s="186"/>
      <c r="AG210" s="186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1"/>
      <c r="AF211" s="186"/>
      <c r="AG211" s="186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1"/>
      <c r="AF212" s="186"/>
      <c r="AG212" s="186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1"/>
      <c r="AF213" s="186"/>
      <c r="AG213" s="186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1"/>
      <c r="AF214" s="108"/>
      <c r="AG214" s="186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1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1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1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1"/>
      <c r="AF218" s="403"/>
      <c r="AG218" s="403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1"/>
      <c r="AF219" s="403"/>
      <c r="AG219" s="403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1"/>
      <c r="AF220" s="403"/>
      <c r="AG220" s="403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1"/>
      <c r="AF221" s="108"/>
      <c r="AG221" s="403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1"/>
      <c r="AF222" s="108"/>
      <c r="AG222" s="186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1"/>
      <c r="AF223" s="108"/>
      <c r="AG223" s="186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1"/>
      <c r="AF224" s="108"/>
      <c r="AG224" s="186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1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1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1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1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1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1"/>
      <c r="AF230" s="154"/>
      <c r="AG230" s="403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1"/>
      <c r="AF231" s="154"/>
      <c r="AG231" s="403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1"/>
      <c r="AF232" s="154"/>
      <c r="AG232" s="403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1"/>
      <c r="AF233" s="108"/>
      <c r="AG233" s="186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1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1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1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1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1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1"/>
      <c r="AF239" s="154"/>
      <c r="AG239" s="404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1"/>
      <c r="AF240" s="154"/>
      <c r="AG240" s="404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1"/>
      <c r="AF241" s="154"/>
      <c r="AG241" s="404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1"/>
      <c r="AF242" s="154"/>
      <c r="AG242" s="403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1"/>
      <c r="AF243" s="154"/>
      <c r="AG243" s="404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1"/>
      <c r="AF244" s="154"/>
      <c r="AG244" s="403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1"/>
      <c r="AF245" s="154"/>
      <c r="AG245" s="403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1"/>
      <c r="AF246" s="108"/>
      <c r="AG246" s="186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1"/>
      <c r="AF247" s="405"/>
      <c r="AG247" s="154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1"/>
      <c r="AF248" s="405"/>
      <c r="AG248" s="405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1"/>
      <c r="AF249" s="404"/>
      <c r="AG249" s="404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1"/>
      <c r="AF250" s="404"/>
      <c r="AG250" s="404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1"/>
      <c r="AF251" s="405"/>
      <c r="AG251" s="405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1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1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1"/>
      <c r="AF254" s="186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1"/>
      <c r="AF255" s="405"/>
      <c r="AG255" s="403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1"/>
      <c r="AF256" s="405"/>
      <c r="AG256" s="405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1"/>
      <c r="AF257" s="404"/>
      <c r="AG257" s="404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1"/>
      <c r="AF258" s="405"/>
      <c r="AG258" s="405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1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1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1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1"/>
      <c r="AF262" s="186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1"/>
      <c r="AF263" s="404"/>
      <c r="AG263" s="154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1"/>
      <c r="AF264" s="405"/>
      <c r="AG264" s="405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1"/>
      <c r="AF265" s="405"/>
      <c r="AG265" s="405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1"/>
      <c r="AF266" s="108"/>
      <c r="AG266" s="186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1"/>
      <c r="AF267" s="108"/>
      <c r="AG267" s="186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1"/>
      <c r="AF268" s="108"/>
      <c r="AG268" s="186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1"/>
      <c r="AF269" s="108"/>
      <c r="AG269" s="186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1"/>
      <c r="AF270" s="186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1"/>
      <c r="AF271" s="404"/>
      <c r="AG271" s="403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1"/>
      <c r="AF272" s="404"/>
      <c r="AG272" s="405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1"/>
      <c r="AF273" s="405"/>
      <c r="AG273" s="405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1"/>
      <c r="AF274" s="108"/>
      <c r="AG274" s="186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1"/>
      <c r="AF275" s="108"/>
      <c r="AG275" s="186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1"/>
      <c r="AF276" s="186"/>
      <c r="AG276" s="186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1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1"/>
      <c r="AF278" s="404"/>
      <c r="AG278" s="154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1"/>
      <c r="AF279" s="404"/>
      <c r="AG279" s="404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1"/>
      <c r="AF280" s="404"/>
      <c r="AG280" s="404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1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1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1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1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1"/>
      <c r="AF285" s="108"/>
      <c r="AG285" s="186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1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1"/>
      <c r="AF287" s="108"/>
      <c r="AG287" s="186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1"/>
      <c r="AF288" s="108"/>
      <c r="AG288" s="186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1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1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1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1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1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1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1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1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1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1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1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1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1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1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1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1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1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1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1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1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1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1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1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1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1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1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1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1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1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1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1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1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1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1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1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1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1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1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1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1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1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1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1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1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1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1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1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1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1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1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1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1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1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1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1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1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1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1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1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1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1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1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1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1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1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1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1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1"/>
      <c r="AE356" s="381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1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1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1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1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1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1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1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1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1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1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1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1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1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1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1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1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5"/>
      <c r="AE373" s="381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1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1"/>
      <c r="AE375" s="381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1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1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1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1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1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1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1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1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1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1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1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1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1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1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1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1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0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0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0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0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0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0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0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0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0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0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0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0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0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0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0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0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0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0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0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0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0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0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0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0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0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0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0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0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0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0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0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0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0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0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0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0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0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0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0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0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0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0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0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0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0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0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0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0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0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0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0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0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0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0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0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0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0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0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0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0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0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0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0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0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0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0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0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0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0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0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0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0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0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0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0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0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0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0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0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0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0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0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0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0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0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0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0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0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0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0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0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0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0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0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0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0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0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0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0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0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0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0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0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0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0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0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0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0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0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0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0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0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0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0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0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0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0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0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0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0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0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0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0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0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0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0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0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0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0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0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0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0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0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0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0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0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0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0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0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0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0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0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0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0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0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0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0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0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0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0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0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0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0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0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0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0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0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0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0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0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0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0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0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0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0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0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0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0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0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0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0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0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0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0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0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0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0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0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0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0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0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0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0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0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0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0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0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0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0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0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0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0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0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0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0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0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0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0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0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0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0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0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0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0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0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0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0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0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0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0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0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0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0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0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0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0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0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0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0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0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0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0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0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0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0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0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0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0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0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0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0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0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0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0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0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0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0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0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199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6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30"/>
      <c r="F40" s="360" t="n">
        <f aca="false">+summary!H4</f>
        <v>2.77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37103</v>
      </c>
      <c r="C42" s="79"/>
      <c r="F42" s="183" t="n">
        <v>-5216.57</v>
      </c>
    </row>
    <row r="43" customFormat="false" ht="12.75" hidden="false" customHeight="false" outlineLevel="0" collapsed="false">
      <c r="A43" s="152" t="n">
        <v>37130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37103</v>
      </c>
      <c r="B48" s="9"/>
      <c r="C48" s="9"/>
      <c r="D48" s="301" t="n">
        <v>-17302</v>
      </c>
    </row>
    <row r="49" customFormat="false" ht="12.75" hidden="false" customHeight="false" outlineLevel="0" collapsed="false">
      <c r="A49" s="124" t="n">
        <f aca="false">+A43</f>
        <v>37130</v>
      </c>
      <c r="B49" s="9"/>
      <c r="C49" s="9"/>
      <c r="D49" s="37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G5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J38" activeCellId="3" sqref="A1 D17 D43 J38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200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</row>
    <row r="8" customFormat="false" ht="12.75" hidden="false" customHeight="false" outlineLevel="0" collapsed="false">
      <c r="A8" s="107" t="n">
        <v>1</v>
      </c>
      <c r="B8" s="108" t="n">
        <v>6972</v>
      </c>
      <c r="C8" s="108" t="n">
        <v>7579</v>
      </c>
      <c r="D8" s="120" t="n">
        <f aca="false">+C8-B8</f>
        <v>607</v>
      </c>
    </row>
    <row r="9" customFormat="false" ht="12.75" hidden="false" customHeight="false" outlineLevel="0" collapsed="false">
      <c r="A9" s="107" t="n">
        <v>2</v>
      </c>
      <c r="B9" s="108" t="n">
        <v>4970</v>
      </c>
      <c r="C9" s="108" t="n">
        <v>7579</v>
      </c>
      <c r="D9" s="120" t="n">
        <f aca="false">+C9-B9</f>
        <v>2609</v>
      </c>
    </row>
    <row r="10" customFormat="false" ht="12.75" hidden="false" customHeight="false" outlineLevel="0" collapsed="false">
      <c r="A10" s="107" t="n">
        <v>3</v>
      </c>
      <c r="B10" s="108" t="n">
        <v>7958</v>
      </c>
      <c r="C10" s="108" t="n">
        <v>7579</v>
      </c>
      <c r="D10" s="120" t="n">
        <f aca="false">+C10-B10</f>
        <v>-379</v>
      </c>
    </row>
    <row r="11" customFormat="false" ht="12.75" hidden="false" customHeight="false" outlineLevel="0" collapsed="false">
      <c r="A11" s="107" t="n">
        <v>4</v>
      </c>
      <c r="B11" s="108" t="n">
        <v>7621</v>
      </c>
      <c r="C11" s="108" t="n">
        <v>7579</v>
      </c>
      <c r="D11" s="120" t="n">
        <f aca="false">+C11-B11</f>
        <v>-42</v>
      </c>
    </row>
    <row r="12" customFormat="false" ht="12.75" hidden="false" customHeight="false" outlineLevel="0" collapsed="false">
      <c r="A12" s="107" t="n">
        <v>5</v>
      </c>
      <c r="B12" s="108" t="n">
        <v>7616</v>
      </c>
      <c r="C12" s="108" t="n">
        <v>7579</v>
      </c>
      <c r="D12" s="120" t="n">
        <f aca="false">+C12-B12</f>
        <v>-37</v>
      </c>
    </row>
    <row r="13" customFormat="false" ht="12.75" hidden="false" customHeight="false" outlineLevel="0" collapsed="false">
      <c r="A13" s="107" t="n">
        <v>6</v>
      </c>
      <c r="B13" s="108" t="n">
        <v>5362</v>
      </c>
      <c r="C13" s="108" t="n">
        <v>7579</v>
      </c>
      <c r="D13" s="120" t="n">
        <f aca="false">+C13-B13</f>
        <v>2217</v>
      </c>
    </row>
    <row r="14" customFormat="false" ht="12.75" hidden="false" customHeight="false" outlineLevel="0" collapsed="false">
      <c r="A14" s="107" t="n">
        <v>7</v>
      </c>
      <c r="B14" s="108" t="n">
        <v>2428</v>
      </c>
      <c r="C14" s="108" t="n">
        <v>7579</v>
      </c>
      <c r="D14" s="120" t="n">
        <f aca="false">+C14-B14</f>
        <v>5151</v>
      </c>
    </row>
    <row r="15" customFormat="false" ht="12.75" hidden="false" customHeight="false" outlineLevel="0" collapsed="false">
      <c r="A15" s="107" t="n">
        <v>8</v>
      </c>
      <c r="B15" s="108" t="n">
        <v>1</v>
      </c>
      <c r="C15" s="108" t="n">
        <v>7579</v>
      </c>
      <c r="D15" s="120" t="n">
        <f aca="false">+C15-B15</f>
        <v>7578</v>
      </c>
    </row>
    <row r="16" customFormat="false" ht="12.75" hidden="false" customHeight="false" outlineLevel="0" collapsed="false">
      <c r="A16" s="107" t="n">
        <v>9</v>
      </c>
      <c r="B16" s="108" t="n">
        <v>5773</v>
      </c>
      <c r="C16" s="108" t="n">
        <v>7579</v>
      </c>
      <c r="D16" s="120" t="n">
        <f aca="false">+C16-B16</f>
        <v>1806</v>
      </c>
    </row>
    <row r="17" customFormat="false" ht="12.75" hidden="false" customHeight="false" outlineLevel="0" collapsed="false">
      <c r="A17" s="107" t="n">
        <v>10</v>
      </c>
      <c r="B17" s="108" t="n">
        <v>7988</v>
      </c>
      <c r="C17" s="108" t="n">
        <v>7579</v>
      </c>
      <c r="D17" s="120" t="n">
        <f aca="false">+C17-B17</f>
        <v>-409</v>
      </c>
    </row>
    <row r="18" customFormat="false" ht="12.75" hidden="false" customHeight="false" outlineLevel="0" collapsed="false">
      <c r="A18" s="107" t="n">
        <v>11</v>
      </c>
      <c r="B18" s="108" t="n">
        <v>4392</v>
      </c>
      <c r="C18" s="108" t="n">
        <v>7579</v>
      </c>
      <c r="D18" s="120" t="n">
        <f aca="false">+C18-B18</f>
        <v>3187</v>
      </c>
    </row>
    <row r="19" customFormat="false" ht="12.75" hidden="false" customHeight="false" outlineLevel="0" collapsed="false">
      <c r="A19" s="107" t="n">
        <v>12</v>
      </c>
      <c r="B19" s="108" t="n">
        <v>6883</v>
      </c>
      <c r="C19" s="108" t="n">
        <v>7579</v>
      </c>
      <c r="D19" s="120" t="n">
        <f aca="false">+C19-B19</f>
        <v>696</v>
      </c>
    </row>
    <row r="20" customFormat="false" ht="12.75" hidden="false" customHeight="false" outlineLevel="0" collapsed="false">
      <c r="A20" s="107" t="n">
        <v>13</v>
      </c>
      <c r="B20" s="108" t="n">
        <v>6561</v>
      </c>
      <c r="C20" s="108" t="n">
        <v>7579</v>
      </c>
      <c r="D20" s="120" t="n">
        <f aca="false">+C20-B20</f>
        <v>1018</v>
      </c>
    </row>
    <row r="21" customFormat="false" ht="12.75" hidden="false" customHeight="false" outlineLevel="0" collapsed="false">
      <c r="A21" s="107" t="n">
        <v>14</v>
      </c>
      <c r="B21" s="108" t="n">
        <v>7417</v>
      </c>
      <c r="C21" s="108" t="n">
        <v>7579</v>
      </c>
      <c r="D21" s="120" t="n">
        <f aca="false">+C21-B21</f>
        <v>162</v>
      </c>
    </row>
    <row r="22" customFormat="false" ht="12.75" hidden="false" customHeight="false" outlineLevel="0" collapsed="false">
      <c r="A22" s="107" t="n">
        <v>15</v>
      </c>
      <c r="B22" s="108" t="n">
        <v>7620</v>
      </c>
      <c r="C22" s="108" t="n">
        <v>7579</v>
      </c>
      <c r="D22" s="120" t="n">
        <f aca="false">+C22-B22</f>
        <v>-41</v>
      </c>
    </row>
    <row r="23" customFormat="false" ht="12.75" hidden="false" customHeight="false" outlineLevel="0" collapsed="false">
      <c r="A23" s="107" t="n">
        <v>16</v>
      </c>
      <c r="B23" s="108" t="n">
        <v>7620</v>
      </c>
      <c r="C23" s="108" t="n">
        <v>7579</v>
      </c>
      <c r="D23" s="120" t="n">
        <f aca="false">+C23-B23</f>
        <v>-41</v>
      </c>
    </row>
    <row r="24" customFormat="false" ht="12.75" hidden="false" customHeight="false" outlineLevel="0" collapsed="false">
      <c r="A24" s="107" t="n">
        <v>17</v>
      </c>
      <c r="B24" s="108" t="n">
        <v>8510</v>
      </c>
      <c r="C24" s="108" t="n">
        <v>7579</v>
      </c>
      <c r="D24" s="120" t="n">
        <f aca="false">+C24-B24</f>
        <v>-931</v>
      </c>
    </row>
    <row r="25" customFormat="false" ht="12.75" hidden="false" customHeight="false" outlineLevel="0" collapsed="false">
      <c r="A25" s="107" t="n">
        <v>18</v>
      </c>
      <c r="B25" s="108" t="n">
        <v>8529</v>
      </c>
      <c r="C25" s="108" t="n">
        <v>7579</v>
      </c>
      <c r="D25" s="120" t="n">
        <f aca="false">+C25-B25</f>
        <v>-950</v>
      </c>
    </row>
    <row r="26" customFormat="false" ht="12.75" hidden="false" customHeight="false" outlineLevel="0" collapsed="false">
      <c r="A26" s="107" t="n">
        <v>19</v>
      </c>
      <c r="B26" s="108" t="n">
        <v>8092</v>
      </c>
      <c r="C26" s="108" t="n">
        <v>7579</v>
      </c>
      <c r="D26" s="120" t="n">
        <f aca="false">+C26-B26</f>
        <v>-513</v>
      </c>
    </row>
    <row r="27" customFormat="false" ht="12.75" hidden="false" customHeight="false" outlineLevel="0" collapsed="false">
      <c r="A27" s="107" t="n">
        <v>20</v>
      </c>
      <c r="B27" s="108" t="n">
        <v>0</v>
      </c>
      <c r="C27" s="108" t="n">
        <v>7579</v>
      </c>
      <c r="D27" s="120" t="n">
        <f aca="false">+C27-B27</f>
        <v>7579</v>
      </c>
    </row>
    <row r="28" customFormat="false" ht="12.75" hidden="false" customHeight="false" outlineLevel="0" collapsed="false">
      <c r="A28" s="107" t="n">
        <v>21</v>
      </c>
      <c r="B28" s="108" t="n">
        <v>5449</v>
      </c>
      <c r="C28" s="108" t="n">
        <v>7579</v>
      </c>
      <c r="D28" s="120" t="n">
        <f aca="false">+C28-B28</f>
        <v>2130</v>
      </c>
    </row>
    <row r="29" customFormat="false" ht="12.75" hidden="false" customHeight="false" outlineLevel="0" collapsed="false">
      <c r="A29" s="107" t="n">
        <v>22</v>
      </c>
      <c r="B29" s="108" t="n">
        <v>5406</v>
      </c>
      <c r="C29" s="108" t="n">
        <v>7579</v>
      </c>
      <c r="D29" s="120" t="n">
        <f aca="false">+C29-B29</f>
        <v>2173</v>
      </c>
    </row>
    <row r="30" customFormat="false" ht="12.75" hidden="false" customHeight="false" outlineLevel="0" collapsed="false">
      <c r="A30" s="107" t="n">
        <v>23</v>
      </c>
      <c r="B30" s="108" t="n">
        <v>8530</v>
      </c>
      <c r="C30" s="108" t="n">
        <v>7579</v>
      </c>
      <c r="D30" s="120" t="n">
        <f aca="false">+C30-B30</f>
        <v>-951</v>
      </c>
    </row>
    <row r="31" customFormat="false" ht="12.75" hidden="false" customHeight="false" outlineLevel="0" collapsed="false">
      <c r="A31" s="107" t="n">
        <v>24</v>
      </c>
      <c r="B31" s="108" t="n">
        <v>4380</v>
      </c>
      <c r="C31" s="108" t="n">
        <v>7579</v>
      </c>
      <c r="D31" s="120" t="n">
        <f aca="false">+C31-B31</f>
        <v>3199</v>
      </c>
    </row>
    <row r="32" customFormat="false" ht="12.75" hidden="false" customHeight="false" outlineLevel="0" collapsed="false">
      <c r="A32" s="107" t="n">
        <v>25</v>
      </c>
      <c r="B32" s="108" t="n">
        <v>1310</v>
      </c>
      <c r="C32" s="108" t="n">
        <v>7579</v>
      </c>
      <c r="D32" s="120" t="n">
        <f aca="false">+C32-B32</f>
        <v>6269</v>
      </c>
    </row>
    <row r="33" customFormat="false" ht="12.75" hidden="false" customHeight="false" outlineLevel="0" collapsed="false">
      <c r="A33" s="107" t="n">
        <v>26</v>
      </c>
      <c r="B33" s="108" t="n">
        <v>263</v>
      </c>
      <c r="C33" s="108" t="n">
        <v>7579</v>
      </c>
      <c r="D33" s="120" t="n">
        <f aca="false">+C33-B33</f>
        <v>7316</v>
      </c>
    </row>
    <row r="34" customFormat="false" ht="12.75" hidden="false" customHeight="false" outlineLevel="0" collapsed="false">
      <c r="A34" s="107" t="n">
        <v>27</v>
      </c>
      <c r="B34" s="108" t="n">
        <v>1418</v>
      </c>
      <c r="C34" s="108" t="n">
        <v>7579</v>
      </c>
      <c r="D34" s="120" t="n">
        <f aca="false">+C34-B34</f>
        <v>6161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149069</v>
      </c>
      <c r="C39" s="108" t="n">
        <f aca="false">SUM(C8:C38)</f>
        <v>204633</v>
      </c>
      <c r="D39" s="120" t="n">
        <f aca="false">SUM(D8:D38)</f>
        <v>55564</v>
      </c>
    </row>
    <row r="40" customFormat="false" ht="12.75" hidden="false" customHeight="false" outlineLevel="0" collapsed="false">
      <c r="A40" s="134"/>
      <c r="C40" s="30"/>
      <c r="D40" s="360" t="n">
        <f aca="false">+summary!H4</f>
        <v>2.77</v>
      </c>
    </row>
    <row r="41" customFormat="false" ht="12.75" hidden="false" customHeight="false" outlineLevel="0" collapsed="false">
      <c r="D41" s="132" t="n">
        <f aca="false">+D40*D39</f>
        <v>153912.28</v>
      </c>
      <c r="F41" s="0" t="n">
        <f aca="false">11834*2.81</f>
        <v>33253.54</v>
      </c>
    </row>
    <row r="42" customFormat="false" ht="12.75" hidden="false" customHeight="false" outlineLevel="0" collapsed="false">
      <c r="A42" s="152" t="n">
        <v>37103</v>
      </c>
      <c r="C42" s="79"/>
      <c r="D42" s="407" t="n">
        <v>326755</v>
      </c>
      <c r="F42" s="0" t="n">
        <v>14318300</v>
      </c>
      <c r="G42" s="0" t="n">
        <v>77</v>
      </c>
    </row>
    <row r="43" customFormat="false" ht="12.75" hidden="false" customHeight="false" outlineLevel="0" collapsed="false">
      <c r="A43" s="152" t="n">
        <v>37130</v>
      </c>
      <c r="C43" s="151"/>
      <c r="D43" s="132" t="n">
        <f aca="false">+D42+D41</f>
        <v>480667.28</v>
      </c>
      <c r="F43" s="0" t="n">
        <v>6786782</v>
      </c>
      <c r="G43" s="0" t="n">
        <v>382</v>
      </c>
    </row>
    <row r="44" customFormat="false" ht="12.75" hidden="false" customHeight="false" outlineLevel="0" collapsed="false">
      <c r="F44" s="0" t="n">
        <f aca="false">+F42-F43</f>
        <v>7531518</v>
      </c>
      <c r="G44" s="0" t="n">
        <v>80</v>
      </c>
    </row>
    <row r="45" customFormat="false" ht="12.75" hidden="false" customHeight="false" outlineLevel="0" collapsed="false">
      <c r="G45" s="0" t="n">
        <v>25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G46" s="0" t="n">
        <v>22</v>
      </c>
    </row>
    <row r="47" customFormat="false" ht="12.75" hidden="false" customHeight="false" outlineLevel="0" collapsed="false">
      <c r="A47" s="124" t="n">
        <f aca="false">+A42</f>
        <v>37103</v>
      </c>
      <c r="B47" s="9"/>
      <c r="C47" s="9"/>
      <c r="D47" s="30" t="n">
        <v>6289</v>
      </c>
      <c r="G47" s="0" t="n">
        <v>50</v>
      </c>
    </row>
    <row r="48" customFormat="false" ht="12.75" hidden="false" customHeight="false" outlineLevel="0" collapsed="false">
      <c r="A48" s="124" t="n">
        <f aca="false">+A43</f>
        <v>37130</v>
      </c>
      <c r="B48" s="9"/>
      <c r="C48" s="9"/>
      <c r="D48" s="37" t="n">
        <f aca="false">+D39</f>
        <v>55564</v>
      </c>
      <c r="G48" s="0" t="n">
        <v>44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61853</v>
      </c>
      <c r="G49" s="0" t="n">
        <v>162</v>
      </c>
    </row>
    <row r="50" customFormat="false" ht="12.75" hidden="false" customHeight="false" outlineLevel="0" collapsed="false">
      <c r="A50" s="127"/>
      <c r="B50" s="128"/>
      <c r="C50" s="129"/>
      <c r="D50" s="129"/>
      <c r="G50" s="0" t="n">
        <v>245</v>
      </c>
    </row>
    <row r="51" customFormat="false" ht="12.75" hidden="false" customHeight="false" outlineLevel="0" collapsed="false">
      <c r="G51" s="0" t="n">
        <v>33</v>
      </c>
    </row>
    <row r="52" customFormat="false" ht="12.75" hidden="false" customHeight="false" outlineLevel="0" collapsed="false">
      <c r="G52" s="0" t="n">
        <v>65</v>
      </c>
    </row>
    <row r="53" customFormat="false" ht="12.75" hidden="false" customHeight="false" outlineLevel="0" collapsed="false">
      <c r="G53" s="0" t="n">
        <v>-136</v>
      </c>
    </row>
    <row r="54" customFormat="false" ht="12.75" hidden="false" customHeight="false" outlineLevel="0" collapsed="false">
      <c r="G54" s="0" t="n">
        <v>-73</v>
      </c>
    </row>
    <row r="55" customFormat="false" ht="12.75" hidden="false" customHeight="false" outlineLevel="0" collapsed="false">
      <c r="G55" s="0" t="n">
        <f aca="false">SUM(G42:G54)</f>
        <v>976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5" activeCellId="3" sqref="A1 A1 D34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201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-77614</v>
      </c>
      <c r="C6" s="108" t="n">
        <v>-65229</v>
      </c>
      <c r="D6" s="120" t="n">
        <f aca="false">+C6-B6</f>
        <v>12385</v>
      </c>
    </row>
    <row r="7" customFormat="false" ht="12.75" hidden="false" customHeight="false" outlineLevel="0" collapsed="false">
      <c r="A7" s="107" t="n">
        <v>2</v>
      </c>
      <c r="B7" s="108" t="n">
        <v>-71168</v>
      </c>
      <c r="C7" s="108" t="n">
        <v>-80300</v>
      </c>
      <c r="D7" s="120" t="n">
        <f aca="false">+C7-B7</f>
        <v>-9132</v>
      </c>
    </row>
    <row r="8" customFormat="false" ht="12.75" hidden="false" customHeight="false" outlineLevel="0" collapsed="false">
      <c r="A8" s="107" t="n">
        <v>3</v>
      </c>
      <c r="B8" s="108" t="n">
        <v>-41277</v>
      </c>
      <c r="C8" s="108" t="n">
        <v>-50000</v>
      </c>
      <c r="D8" s="120" t="n">
        <f aca="false">+C8-B8</f>
        <v>-8723</v>
      </c>
    </row>
    <row r="9" customFormat="false" ht="12.75" hidden="false" customHeight="false" outlineLevel="0" collapsed="false">
      <c r="A9" s="107" t="n">
        <v>4</v>
      </c>
      <c r="B9" s="108" t="n">
        <v>-41015</v>
      </c>
      <c r="C9" s="108" t="n">
        <v>-50000</v>
      </c>
      <c r="D9" s="120" t="n">
        <f aca="false">+C9-B9</f>
        <v>-8985</v>
      </c>
    </row>
    <row r="10" customFormat="false" ht="12.75" hidden="false" customHeight="false" outlineLevel="0" collapsed="false">
      <c r="A10" s="107" t="n">
        <v>5</v>
      </c>
      <c r="B10" s="108" t="n">
        <v>-41598</v>
      </c>
      <c r="C10" s="108" t="n">
        <v>-50000</v>
      </c>
      <c r="D10" s="120" t="n">
        <f aca="false">+C10-B10</f>
        <v>-8402</v>
      </c>
    </row>
    <row r="11" customFormat="false" ht="12.75" hidden="false" customHeight="false" outlineLevel="0" collapsed="false">
      <c r="A11" s="107" t="n">
        <v>6</v>
      </c>
      <c r="B11" s="108" t="n">
        <v>-67163</v>
      </c>
      <c r="C11" s="108" t="n">
        <v>-50000</v>
      </c>
      <c r="D11" s="120" t="n">
        <f aca="false">+C11-B11</f>
        <v>17163</v>
      </c>
    </row>
    <row r="12" customFormat="false" ht="12.75" hidden="false" customHeight="false" outlineLevel="0" collapsed="false">
      <c r="A12" s="107" t="n">
        <v>7</v>
      </c>
      <c r="B12" s="108" t="n">
        <v>-78830</v>
      </c>
      <c r="C12" s="108" t="n">
        <v>-80300</v>
      </c>
      <c r="D12" s="120" t="n">
        <f aca="false">+C12-B12</f>
        <v>-1470</v>
      </c>
    </row>
    <row r="13" customFormat="false" ht="12.75" hidden="false" customHeight="false" outlineLevel="0" collapsed="false">
      <c r="A13" s="107" t="n">
        <v>8</v>
      </c>
      <c r="B13" s="108" t="n">
        <v>-82222</v>
      </c>
      <c r="C13" s="108" t="n">
        <v>-80300</v>
      </c>
      <c r="D13" s="120" t="n">
        <f aca="false">+C13-B13</f>
        <v>1922</v>
      </c>
    </row>
    <row r="14" customFormat="false" ht="12.75" hidden="false" customHeight="false" outlineLevel="0" collapsed="false">
      <c r="A14" s="107" t="n">
        <v>9</v>
      </c>
      <c r="B14" s="108" t="n">
        <v>-81974</v>
      </c>
      <c r="C14" s="108" t="n">
        <v>-80168</v>
      </c>
      <c r="D14" s="120" t="n">
        <f aca="false">+C14-B14</f>
        <v>1806</v>
      </c>
    </row>
    <row r="15" customFormat="false" ht="12.75" hidden="false" customHeight="false" outlineLevel="0" collapsed="false">
      <c r="A15" s="107" t="n">
        <v>10</v>
      </c>
      <c r="B15" s="108" t="n">
        <v>-77458</v>
      </c>
      <c r="C15" s="108" t="n">
        <v>-79752</v>
      </c>
      <c r="D15" s="120" t="n">
        <f aca="false">+C15-B15</f>
        <v>-2294</v>
      </c>
    </row>
    <row r="16" customFormat="false" ht="12.75" hidden="false" customHeight="false" outlineLevel="0" collapsed="false">
      <c r="A16" s="107" t="n">
        <v>11</v>
      </c>
      <c r="B16" s="108" t="n">
        <v>-77550</v>
      </c>
      <c r="C16" s="108" t="n">
        <v>-79499</v>
      </c>
      <c r="D16" s="120" t="n">
        <f aca="false">+C16-B16</f>
        <v>-1949</v>
      </c>
    </row>
    <row r="17" customFormat="false" ht="12.75" hidden="false" customHeight="false" outlineLevel="0" collapsed="false">
      <c r="A17" s="107" t="n">
        <v>12</v>
      </c>
      <c r="B17" s="108" t="n">
        <v>-79020</v>
      </c>
      <c r="C17" s="108" t="n">
        <v>-79795</v>
      </c>
      <c r="D17" s="120" t="n">
        <f aca="false">+C17-B17</f>
        <v>-775</v>
      </c>
    </row>
    <row r="18" customFormat="false" ht="12.75" hidden="false" customHeight="false" outlineLevel="0" collapsed="false">
      <c r="A18" s="107" t="n">
        <v>13</v>
      </c>
      <c r="B18" s="108" t="n">
        <v>-81735</v>
      </c>
      <c r="C18" s="108" t="n">
        <v>-80070</v>
      </c>
      <c r="D18" s="120" t="n">
        <f aca="false">+C18-B18</f>
        <v>1665</v>
      </c>
    </row>
    <row r="19" customFormat="false" ht="12.75" hidden="false" customHeight="false" outlineLevel="0" collapsed="false">
      <c r="A19" s="107" t="n">
        <v>14</v>
      </c>
      <c r="B19" s="108" t="n">
        <v>-83487</v>
      </c>
      <c r="C19" s="108" t="n">
        <v>-80300</v>
      </c>
      <c r="D19" s="120" t="n">
        <f aca="false">+C19-B19</f>
        <v>3187</v>
      </c>
    </row>
    <row r="20" customFormat="false" ht="12.75" hidden="false" customHeight="false" outlineLevel="0" collapsed="false">
      <c r="A20" s="107" t="n">
        <v>15</v>
      </c>
      <c r="B20" s="108" t="n">
        <v>-61528</v>
      </c>
      <c r="C20" s="108" t="n">
        <v>-59563</v>
      </c>
      <c r="D20" s="120" t="n">
        <f aca="false">+C20-B20</f>
        <v>1965</v>
      </c>
    </row>
    <row r="21" customFormat="false" ht="12.75" hidden="false" customHeight="false" outlineLevel="0" collapsed="false">
      <c r="A21" s="107" t="n">
        <v>16</v>
      </c>
      <c r="B21" s="108" t="n">
        <v>-41521</v>
      </c>
      <c r="C21" s="108" t="n">
        <v>-50000</v>
      </c>
      <c r="D21" s="120" t="n">
        <f aca="false">+C21-B21</f>
        <v>-8479</v>
      </c>
    </row>
    <row r="22" customFormat="false" ht="12.75" hidden="false" customHeight="false" outlineLevel="0" collapsed="false">
      <c r="A22" s="107" t="n">
        <v>17</v>
      </c>
      <c r="B22" s="108" t="n">
        <v>-42402</v>
      </c>
      <c r="C22" s="108" t="n">
        <v>-50000</v>
      </c>
      <c r="D22" s="120" t="n">
        <f aca="false">+C22-B22</f>
        <v>-7598</v>
      </c>
    </row>
    <row r="23" customFormat="false" ht="12.75" hidden="false" customHeight="false" outlineLevel="0" collapsed="false">
      <c r="A23" s="107" t="n">
        <v>18</v>
      </c>
      <c r="B23" s="108" t="n">
        <v>-52322</v>
      </c>
      <c r="C23" s="108" t="n">
        <v>-50000</v>
      </c>
      <c r="D23" s="120" t="n">
        <f aca="false">+C23-B23</f>
        <v>2322</v>
      </c>
    </row>
    <row r="24" customFormat="false" ht="12.75" hidden="false" customHeight="false" outlineLevel="0" collapsed="false">
      <c r="A24" s="107" t="n">
        <v>19</v>
      </c>
      <c r="B24" s="186" t="n">
        <v>-79654</v>
      </c>
      <c r="C24" s="108" t="n">
        <v>-48847</v>
      </c>
      <c r="D24" s="120" t="n">
        <f aca="false">+C24-B24</f>
        <v>30807</v>
      </c>
    </row>
    <row r="25" customFormat="false" ht="12.75" hidden="false" customHeight="false" outlineLevel="0" collapsed="false">
      <c r="A25" s="107" t="n">
        <v>20</v>
      </c>
      <c r="B25" s="108" t="n">
        <v>-81639</v>
      </c>
      <c r="C25" s="108" t="n">
        <v>-60462</v>
      </c>
      <c r="D25" s="120" t="n">
        <f aca="false">+C25-B25</f>
        <v>21177</v>
      </c>
    </row>
    <row r="26" customFormat="false" ht="12.75" hidden="false" customHeight="false" outlineLevel="0" collapsed="false">
      <c r="A26" s="107" t="n">
        <v>21</v>
      </c>
      <c r="B26" s="108" t="n">
        <v>-82328</v>
      </c>
      <c r="C26" s="108" t="n">
        <v>-89045</v>
      </c>
      <c r="D26" s="120" t="n">
        <f aca="false">+C26-B26</f>
        <v>-6717</v>
      </c>
    </row>
    <row r="27" customFormat="false" ht="12.75" hidden="false" customHeight="false" outlineLevel="0" collapsed="false">
      <c r="A27" s="107" t="n">
        <v>22</v>
      </c>
      <c r="B27" s="186" t="n">
        <v>-70813</v>
      </c>
      <c r="C27" s="108" t="n">
        <v>-65162</v>
      </c>
      <c r="D27" s="120" t="n">
        <f aca="false">+C27-B27</f>
        <v>5651</v>
      </c>
    </row>
    <row r="28" customFormat="false" ht="12.75" hidden="false" customHeight="false" outlineLevel="0" collapsed="false">
      <c r="A28" s="107" t="n">
        <v>23</v>
      </c>
      <c r="B28" s="108" t="n">
        <v>-69354</v>
      </c>
      <c r="C28" s="108" t="n">
        <v>-83170</v>
      </c>
      <c r="D28" s="120" t="n">
        <f aca="false">+C28-B28</f>
        <v>-13816</v>
      </c>
    </row>
    <row r="29" customFormat="false" ht="12.75" hidden="false" customHeight="false" outlineLevel="0" collapsed="false">
      <c r="A29" s="107" t="n">
        <v>24</v>
      </c>
      <c r="B29" s="108" t="n">
        <v>-40965</v>
      </c>
      <c r="C29" s="108" t="n">
        <v>-43257</v>
      </c>
      <c r="D29" s="120" t="n">
        <f aca="false">+C29-B29</f>
        <v>-2292</v>
      </c>
    </row>
    <row r="30" customFormat="false" ht="12.75" hidden="false" customHeight="false" outlineLevel="0" collapsed="false">
      <c r="A30" s="107" t="n">
        <v>25</v>
      </c>
      <c r="B30" s="108" t="n">
        <v>-40926</v>
      </c>
      <c r="C30" s="108" t="n">
        <v>-38167</v>
      </c>
      <c r="D30" s="120" t="n">
        <f aca="false">+C30-B30</f>
        <v>2759</v>
      </c>
    </row>
    <row r="31" customFormat="false" ht="12.75" hidden="false" customHeight="false" outlineLevel="0" collapsed="false">
      <c r="A31" s="107" t="n">
        <v>26</v>
      </c>
      <c r="B31" s="108" t="n">
        <v>-41028</v>
      </c>
      <c r="C31" s="108" t="n">
        <v>-36581</v>
      </c>
      <c r="D31" s="120" t="n">
        <f aca="false">+C31-B31</f>
        <v>4447</v>
      </c>
    </row>
    <row r="32" customFormat="false" ht="12.75" hidden="false" customHeight="false" outlineLevel="0" collapsed="false">
      <c r="A32" s="107" t="n">
        <v>27</v>
      </c>
      <c r="B32" s="108" t="n">
        <v>-41039</v>
      </c>
      <c r="C32" s="108" t="n">
        <v>-49678</v>
      </c>
      <c r="D32" s="120" t="n">
        <f aca="false">+C32-B32</f>
        <v>-8639</v>
      </c>
    </row>
    <row r="33" customFormat="false" ht="12.75" hidden="false" customHeight="false" outlineLevel="0" collapsed="false">
      <c r="A33" s="107" t="n">
        <v>28</v>
      </c>
      <c r="B33" s="108" t="n">
        <v>-53560</v>
      </c>
      <c r="C33" s="108" t="n">
        <v>-58214</v>
      </c>
      <c r="D33" s="120" t="n">
        <f aca="false">+C33-B33</f>
        <v>-4654</v>
      </c>
    </row>
    <row r="34" customFormat="false" ht="12.75" hidden="false" customHeight="false" outlineLevel="0" collapsed="false">
      <c r="A34" s="107" t="n">
        <v>29</v>
      </c>
      <c r="B34" s="108" t="n">
        <v>-80806</v>
      </c>
      <c r="C34" s="108" t="n">
        <v>-67475</v>
      </c>
      <c r="D34" s="120" t="n">
        <f aca="false">+C34-B34</f>
        <v>13331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-1861996</v>
      </c>
      <c r="C37" s="108" t="n">
        <f aca="false">SUM(C6:C36)</f>
        <v>-1835334</v>
      </c>
      <c r="D37" s="120" t="n">
        <f aca="false">SUM(D6:D36)</f>
        <v>26662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2.77</v>
      </c>
    </row>
    <row r="39" customFormat="false" ht="12.75" hidden="false" customHeight="false" outlineLevel="0" collapsed="false">
      <c r="D39" s="132" t="n">
        <f aca="false">+D38*D37</f>
        <v>73853.74</v>
      </c>
    </row>
    <row r="40" customFormat="false" ht="12.75" hidden="false" customHeight="false" outlineLevel="0" collapsed="false">
      <c r="A40" s="152" t="n">
        <v>37103</v>
      </c>
      <c r="C40" s="79"/>
      <c r="D40" s="409" t="n">
        <v>21736.76</v>
      </c>
    </row>
    <row r="41" customFormat="false" ht="12.75" hidden="false" customHeight="false" outlineLevel="0" collapsed="false">
      <c r="A41" s="152" t="n">
        <v>37132</v>
      </c>
      <c r="C41" s="151"/>
      <c r="D41" s="132" t="n">
        <f aca="false">+D40+D39</f>
        <v>95590.5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1" t="n">
        <f aca="false">117315-4335-4130</f>
        <v>108850</v>
      </c>
    </row>
    <row r="46" customFormat="false" ht="12.75" hidden="false" customHeight="false" outlineLevel="0" collapsed="false">
      <c r="A46" s="124" t="n">
        <f aca="false">+A41</f>
        <v>37132</v>
      </c>
      <c r="B46" s="9"/>
      <c r="C46" s="9"/>
      <c r="D46" s="37" t="n">
        <f aca="false">+D37</f>
        <v>26662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135512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3" sqref="A1 A1 D41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202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32539</v>
      </c>
      <c r="C6" s="108" t="n">
        <v>31400</v>
      </c>
      <c r="D6" s="120" t="n">
        <f aca="false">+C6-B6</f>
        <v>-1139</v>
      </c>
    </row>
    <row r="7" customFormat="false" ht="12.75" hidden="false" customHeight="false" outlineLevel="0" collapsed="false">
      <c r="A7" s="107" t="n">
        <v>2</v>
      </c>
      <c r="B7" s="108" t="n">
        <v>32516</v>
      </c>
      <c r="C7" s="108" t="n">
        <v>31400</v>
      </c>
      <c r="D7" s="120" t="n">
        <f aca="false">+C7-B7</f>
        <v>-1116</v>
      </c>
    </row>
    <row r="8" customFormat="false" ht="12.75" hidden="false" customHeight="false" outlineLevel="0" collapsed="false">
      <c r="A8" s="107" t="n">
        <v>3</v>
      </c>
      <c r="B8" s="108" t="n">
        <v>39547</v>
      </c>
      <c r="C8" s="108" t="n">
        <v>36521</v>
      </c>
      <c r="D8" s="120" t="n">
        <f aca="false">+C8-B8</f>
        <v>-3026</v>
      </c>
    </row>
    <row r="9" customFormat="false" ht="12.75" hidden="false" customHeight="false" outlineLevel="0" collapsed="false">
      <c r="A9" s="107" t="n">
        <v>4</v>
      </c>
      <c r="B9" s="108" t="n">
        <v>37821</v>
      </c>
      <c r="C9" s="108" t="n">
        <v>33628</v>
      </c>
      <c r="D9" s="120" t="n">
        <f aca="false">+C9-B9</f>
        <v>-4193</v>
      </c>
    </row>
    <row r="10" customFormat="false" ht="12.75" hidden="false" customHeight="false" outlineLevel="0" collapsed="false">
      <c r="A10" s="107" t="n">
        <v>5</v>
      </c>
      <c r="B10" s="108" t="n">
        <v>35429</v>
      </c>
      <c r="C10" s="108" t="n">
        <v>38484</v>
      </c>
      <c r="D10" s="120" t="n">
        <f aca="false">+C10-B10</f>
        <v>3055</v>
      </c>
    </row>
    <row r="11" customFormat="false" ht="12.75" hidden="false" customHeight="false" outlineLevel="0" collapsed="false">
      <c r="A11" s="107" t="n">
        <v>6</v>
      </c>
      <c r="B11" s="108" t="n">
        <v>39523</v>
      </c>
      <c r="C11" s="108" t="n">
        <v>38484</v>
      </c>
      <c r="D11" s="120" t="n">
        <f aca="false">+C11-B11</f>
        <v>-1039</v>
      </c>
    </row>
    <row r="12" customFormat="false" ht="12.75" hidden="false" customHeight="false" outlineLevel="0" collapsed="false">
      <c r="A12" s="107" t="n">
        <v>7</v>
      </c>
      <c r="B12" s="108" t="n">
        <v>40822</v>
      </c>
      <c r="C12" s="108" t="n">
        <v>38500</v>
      </c>
      <c r="D12" s="120" t="n">
        <f aca="false">+C12-B12</f>
        <v>-2322</v>
      </c>
    </row>
    <row r="13" customFormat="false" ht="12.75" hidden="false" customHeight="false" outlineLevel="0" collapsed="false">
      <c r="A13" s="107" t="n">
        <v>8</v>
      </c>
      <c r="B13" s="108" t="n">
        <v>41242</v>
      </c>
      <c r="C13" s="108" t="n">
        <v>38499</v>
      </c>
      <c r="D13" s="120" t="n">
        <f aca="false">+C13-B13</f>
        <v>-2743</v>
      </c>
    </row>
    <row r="14" customFormat="false" ht="12.75" hidden="false" customHeight="false" outlineLevel="0" collapsed="false">
      <c r="A14" s="107" t="n">
        <v>9</v>
      </c>
      <c r="B14" s="108" t="n">
        <v>39629</v>
      </c>
      <c r="C14" s="108" t="n">
        <v>37100</v>
      </c>
      <c r="D14" s="120" t="n">
        <f aca="false">+C14-B14</f>
        <v>-2529</v>
      </c>
    </row>
    <row r="15" customFormat="false" ht="12.75" hidden="false" customHeight="false" outlineLevel="0" collapsed="false">
      <c r="A15" s="107" t="n">
        <v>10</v>
      </c>
      <c r="B15" s="108" t="n">
        <v>39802</v>
      </c>
      <c r="C15" s="108" t="n">
        <v>37879</v>
      </c>
      <c r="D15" s="120" t="n">
        <f aca="false">+C15-B15</f>
        <v>-1923</v>
      </c>
    </row>
    <row r="16" customFormat="false" ht="12.75" hidden="false" customHeight="false" outlineLevel="0" collapsed="false">
      <c r="A16" s="107" t="n">
        <v>11</v>
      </c>
      <c r="B16" s="108" t="n">
        <v>39852</v>
      </c>
      <c r="C16" s="108" t="n">
        <v>38499</v>
      </c>
      <c r="D16" s="120" t="n">
        <f aca="false">+C16-B16</f>
        <v>-1353</v>
      </c>
    </row>
    <row r="17" customFormat="false" ht="12.75" hidden="false" customHeight="false" outlineLevel="0" collapsed="false">
      <c r="A17" s="107" t="n">
        <v>12</v>
      </c>
      <c r="B17" s="108" t="n">
        <v>18864</v>
      </c>
      <c r="C17" s="108" t="n">
        <v>24382</v>
      </c>
      <c r="D17" s="120" t="n">
        <f aca="false">+C17-B17</f>
        <v>5518</v>
      </c>
    </row>
    <row r="18" customFormat="false" ht="12.75" hidden="false" customHeight="false" outlineLevel="0" collapsed="false">
      <c r="A18" s="107" t="n">
        <v>13</v>
      </c>
      <c r="B18" s="108" t="n">
        <v>34489</v>
      </c>
      <c r="C18" s="108" t="n">
        <v>35457</v>
      </c>
      <c r="D18" s="120" t="n">
        <f aca="false">+C18-B18</f>
        <v>968</v>
      </c>
    </row>
    <row r="19" customFormat="false" ht="12.75" hidden="false" customHeight="false" outlineLevel="0" collapsed="false">
      <c r="A19" s="107" t="n">
        <v>14</v>
      </c>
      <c r="B19" s="108" t="n">
        <v>40193</v>
      </c>
      <c r="C19" s="108" t="n">
        <v>39600</v>
      </c>
      <c r="D19" s="120" t="n">
        <f aca="false">+C19-B19</f>
        <v>-593</v>
      </c>
    </row>
    <row r="20" customFormat="false" ht="12.75" hidden="false" customHeight="false" outlineLevel="0" collapsed="false">
      <c r="A20" s="107" t="n">
        <v>15</v>
      </c>
      <c r="B20" s="108" t="n">
        <v>40662</v>
      </c>
      <c r="C20" s="108" t="n">
        <v>38879</v>
      </c>
      <c r="D20" s="120" t="n">
        <f aca="false">+C20-B20</f>
        <v>-1783</v>
      </c>
    </row>
    <row r="21" customFormat="false" ht="12.75" hidden="false" customHeight="false" outlineLevel="0" collapsed="false">
      <c r="A21" s="107" t="n">
        <v>16</v>
      </c>
      <c r="B21" s="108" t="n">
        <v>38470</v>
      </c>
      <c r="C21" s="108" t="n">
        <v>39600</v>
      </c>
      <c r="D21" s="120" t="n">
        <f aca="false">+C21-B21</f>
        <v>1130</v>
      </c>
    </row>
    <row r="22" customFormat="false" ht="12.75" hidden="false" customHeight="false" outlineLevel="0" collapsed="false">
      <c r="A22" s="107" t="n">
        <v>17</v>
      </c>
      <c r="B22" s="108" t="n">
        <v>40314</v>
      </c>
      <c r="C22" s="108" t="n">
        <v>39600</v>
      </c>
      <c r="D22" s="120" t="n">
        <f aca="false">+C22-B22</f>
        <v>-714</v>
      </c>
    </row>
    <row r="23" customFormat="false" ht="12.75" hidden="false" customHeight="false" outlineLevel="0" collapsed="false">
      <c r="A23" s="107" t="n">
        <v>18</v>
      </c>
      <c r="B23" s="108" t="n">
        <v>40863</v>
      </c>
      <c r="C23" s="108" t="n">
        <v>39600</v>
      </c>
      <c r="D23" s="120" t="n">
        <f aca="false">+C23-B23</f>
        <v>-1263</v>
      </c>
    </row>
    <row r="24" customFormat="false" ht="12.75" hidden="false" customHeight="false" outlineLevel="0" collapsed="false">
      <c r="A24" s="107" t="n">
        <v>19</v>
      </c>
      <c r="B24" s="108" t="n">
        <v>39065</v>
      </c>
      <c r="C24" s="108" t="n">
        <v>39600</v>
      </c>
      <c r="D24" s="120" t="n">
        <f aca="false">+C24-B24</f>
        <v>535</v>
      </c>
    </row>
    <row r="25" customFormat="false" ht="12.75" hidden="false" customHeight="false" outlineLevel="0" collapsed="false">
      <c r="A25" s="107" t="n">
        <v>20</v>
      </c>
      <c r="B25" s="108" t="n">
        <v>40407</v>
      </c>
      <c r="C25" s="108" t="n">
        <v>39600</v>
      </c>
      <c r="D25" s="120" t="n">
        <f aca="false">+C25-B25</f>
        <v>-807</v>
      </c>
    </row>
    <row r="26" customFormat="false" ht="12.75" hidden="false" customHeight="false" outlineLevel="0" collapsed="false">
      <c r="A26" s="107" t="n">
        <v>21</v>
      </c>
      <c r="B26" s="108" t="n">
        <v>42088</v>
      </c>
      <c r="C26" s="108" t="n">
        <v>36760</v>
      </c>
      <c r="D26" s="120" t="n">
        <f aca="false">+C26-B26</f>
        <v>-5328</v>
      </c>
    </row>
    <row r="27" customFormat="false" ht="12.75" hidden="false" customHeight="false" outlineLevel="0" collapsed="false">
      <c r="A27" s="107" t="n">
        <v>22</v>
      </c>
      <c r="B27" s="108" t="n">
        <v>41031</v>
      </c>
      <c r="C27" s="108" t="n">
        <v>35000</v>
      </c>
      <c r="D27" s="120" t="n">
        <f aca="false">+C27-B27</f>
        <v>-6031</v>
      </c>
    </row>
    <row r="28" customFormat="false" ht="12.75" hidden="false" customHeight="false" outlineLevel="0" collapsed="false">
      <c r="A28" s="107" t="n">
        <v>23</v>
      </c>
      <c r="B28" s="108" t="n">
        <v>40034</v>
      </c>
      <c r="C28" s="108" t="n">
        <v>35000</v>
      </c>
      <c r="D28" s="120" t="n">
        <f aca="false">+C28-B28</f>
        <v>-5034</v>
      </c>
    </row>
    <row r="29" customFormat="false" ht="12.75" hidden="false" customHeight="false" outlineLevel="0" collapsed="false">
      <c r="A29" s="107" t="n">
        <v>24</v>
      </c>
      <c r="B29" s="108" t="n">
        <v>41568</v>
      </c>
      <c r="C29" s="108" t="n">
        <v>35000</v>
      </c>
      <c r="D29" s="120" t="n">
        <f aca="false">+C29-B29</f>
        <v>-6568</v>
      </c>
    </row>
    <row r="30" customFormat="false" ht="12.75" hidden="false" customHeight="false" outlineLevel="0" collapsed="false">
      <c r="A30" s="107" t="n">
        <v>25</v>
      </c>
      <c r="B30" s="108" t="n">
        <v>31257</v>
      </c>
      <c r="C30" s="108" t="n">
        <v>37000</v>
      </c>
      <c r="D30" s="120" t="n">
        <f aca="false">+C30-B30</f>
        <v>5743</v>
      </c>
    </row>
    <row r="31" customFormat="false" ht="12.75" hidden="false" customHeight="false" outlineLevel="0" collapsed="false">
      <c r="A31" s="107" t="n">
        <v>26</v>
      </c>
      <c r="B31" s="108" t="n">
        <v>38281</v>
      </c>
      <c r="C31" s="108" t="n">
        <v>37000</v>
      </c>
      <c r="D31" s="120" t="n">
        <f aca="false">+C31-B31</f>
        <v>-1281</v>
      </c>
    </row>
    <row r="32" customFormat="false" ht="12.75" hidden="false" customHeight="false" outlineLevel="0" collapsed="false">
      <c r="A32" s="107" t="n">
        <v>27</v>
      </c>
      <c r="B32" s="108" t="n">
        <v>33326</v>
      </c>
      <c r="C32" s="108" t="n">
        <v>37000</v>
      </c>
      <c r="D32" s="120" t="n">
        <f aca="false">+C32-B32</f>
        <v>3674</v>
      </c>
    </row>
    <row r="33" customFormat="false" ht="12.75" hidden="false" customHeight="false" outlineLevel="0" collapsed="false">
      <c r="A33" s="107" t="n">
        <v>28</v>
      </c>
      <c r="B33" s="108" t="n">
        <v>23373</v>
      </c>
      <c r="C33" s="108" t="n">
        <v>37000</v>
      </c>
      <c r="D33" s="120" t="n">
        <f aca="false">+C33-B33</f>
        <v>13627</v>
      </c>
    </row>
    <row r="34" customFormat="false" ht="12.75" hidden="false" customHeight="false" outlineLevel="0" collapsed="false">
      <c r="A34" s="107" t="n">
        <v>29</v>
      </c>
      <c r="B34" s="108" t="n">
        <v>22989</v>
      </c>
      <c r="C34" s="108" t="n">
        <v>37000</v>
      </c>
      <c r="D34" s="120" t="n">
        <f aca="false">+C34-B34</f>
        <v>14011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1065996</v>
      </c>
      <c r="C37" s="108" t="n">
        <f aca="false">SUM(C6:C36)</f>
        <v>1063472</v>
      </c>
      <c r="D37" s="120" t="n">
        <f aca="false">SUM(D6:D36)</f>
        <v>-2524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2.85</v>
      </c>
    </row>
    <row r="39" customFormat="false" ht="12.75" hidden="false" customHeight="false" outlineLevel="0" collapsed="false">
      <c r="D39" s="132" t="n">
        <f aca="false">+D38*D37</f>
        <v>-7193.4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-38120.6</v>
      </c>
    </row>
    <row r="41" customFormat="false" ht="12.75" hidden="false" customHeight="false" outlineLevel="0" collapsed="false">
      <c r="A41" s="152" t="n">
        <v>37132</v>
      </c>
      <c r="C41" s="151"/>
      <c r="D41" s="132" t="n">
        <f aca="false">+D40+D39</f>
        <v>-45314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301" t="n">
        <v>-2104</v>
      </c>
    </row>
    <row r="46" customFormat="false" ht="12.75" hidden="false" customHeight="false" outlineLevel="0" collapsed="false">
      <c r="A46" s="124" t="n">
        <f aca="false">+A41</f>
        <v>37132</v>
      </c>
      <c r="B46" s="9"/>
      <c r="C46" s="9"/>
      <c r="D46" s="37" t="n">
        <f aca="false">+D37</f>
        <v>-2524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-4628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3" activeCellId="3" sqref="F4 G11 J38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110</v>
      </c>
      <c r="D1" s="98" t="s">
        <v>111</v>
      </c>
      <c r="F1" s="98" t="s">
        <v>112</v>
      </c>
      <c r="H1" s="98" t="s">
        <v>113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320046</v>
      </c>
      <c r="C4" s="108" t="n">
        <v>326630</v>
      </c>
      <c r="D4" s="108" t="n">
        <v>68213</v>
      </c>
      <c r="E4" s="108" t="n">
        <v>62006</v>
      </c>
      <c r="F4" s="108" t="n">
        <v>60282</v>
      </c>
      <c r="G4" s="108" t="n">
        <v>67308</v>
      </c>
      <c r="H4" s="108" t="n">
        <v>134575</v>
      </c>
      <c r="I4" s="108" t="n">
        <v>120400</v>
      </c>
      <c r="J4" s="108" t="n">
        <f aca="false">+C4+E4+G4+I4-H4-F4-D4-B4</f>
        <v>-6772</v>
      </c>
      <c r="M4" s="102" t="s">
        <v>117</v>
      </c>
      <c r="N4" s="100" t="s">
        <v>115</v>
      </c>
      <c r="O4" s="100" t="s">
        <v>116</v>
      </c>
      <c r="P4" s="109" t="s">
        <v>118</v>
      </c>
      <c r="Q4" s="104" t="s">
        <v>119</v>
      </c>
      <c r="R4" s="103" t="s">
        <v>120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322443</v>
      </c>
      <c r="C5" s="108" t="n">
        <v>342258</v>
      </c>
      <c r="D5" s="108" t="n">
        <v>80613</v>
      </c>
      <c r="E5" s="108" t="n">
        <v>62006</v>
      </c>
      <c r="F5" s="108" t="n">
        <v>65523</v>
      </c>
      <c r="G5" s="108" t="n">
        <v>61458</v>
      </c>
      <c r="H5" s="108" t="n">
        <v>114858</v>
      </c>
      <c r="I5" s="108" t="n">
        <v>123670</v>
      </c>
      <c r="J5" s="108" t="n">
        <f aca="false">+C5+E5+G5+I5-H5-F5-D5-B5</f>
        <v>5955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339003</v>
      </c>
      <c r="C6" s="108" t="n">
        <v>356730</v>
      </c>
      <c r="D6" s="108" t="n">
        <v>65345</v>
      </c>
      <c r="E6" s="108" t="n">
        <v>62006</v>
      </c>
      <c r="F6" s="108" t="n">
        <v>62518</v>
      </c>
      <c r="G6" s="108" t="n">
        <v>57038</v>
      </c>
      <c r="H6" s="108" t="n">
        <v>133408</v>
      </c>
      <c r="I6" s="108" t="n">
        <v>135294</v>
      </c>
      <c r="J6" s="108" t="n">
        <f aca="false">+C6+E6+G6+I6-H6-F6-D6-B6</f>
        <v>10794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330189</v>
      </c>
      <c r="C7" s="108" t="n">
        <v>334992</v>
      </c>
      <c r="D7" s="108" t="n">
        <v>71515</v>
      </c>
      <c r="E7" s="108" t="n">
        <v>62006</v>
      </c>
      <c r="F7" s="108" t="n">
        <v>68003</v>
      </c>
      <c r="G7" s="108" t="n">
        <v>60854</v>
      </c>
      <c r="H7" s="108" t="n">
        <v>121528</v>
      </c>
      <c r="I7" s="108" t="n">
        <v>122443</v>
      </c>
      <c r="J7" s="108" t="n">
        <f aca="false">+C7+E7+G7+I7-H7-F7-D7-B7</f>
        <v>-10940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325424</v>
      </c>
      <c r="C8" s="108" t="n">
        <v>357543</v>
      </c>
      <c r="D8" s="108" t="n">
        <v>76506</v>
      </c>
      <c r="E8" s="108" t="n">
        <v>45334</v>
      </c>
      <c r="F8" s="108" t="n">
        <v>60101</v>
      </c>
      <c r="G8" s="108" t="n">
        <v>61458</v>
      </c>
      <c r="H8" s="108" t="n">
        <v>122124</v>
      </c>
      <c r="I8" s="108" t="n">
        <v>116046</v>
      </c>
      <c r="J8" s="108" t="n">
        <f aca="false">+C8+E8+G8+I8-H8-F8-D8-B8</f>
        <v>-3774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 t="n">
        <v>338716</v>
      </c>
      <c r="C9" s="108" t="n">
        <v>363512</v>
      </c>
      <c r="D9" s="108" t="n">
        <v>73883</v>
      </c>
      <c r="E9" s="108" t="n">
        <v>62006</v>
      </c>
      <c r="F9" s="108" t="n">
        <v>63277</v>
      </c>
      <c r="G9" s="108" t="n">
        <v>61458</v>
      </c>
      <c r="H9" s="108" t="n">
        <v>128438</v>
      </c>
      <c r="I9" s="108" t="n">
        <v>126142</v>
      </c>
      <c r="J9" s="108" t="n">
        <f aca="false">+C9+E9+G9+I9-H9-F9-D9-B9</f>
        <v>8804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 t="n">
        <v>307409</v>
      </c>
      <c r="C10" s="108" t="n">
        <v>329009</v>
      </c>
      <c r="D10" s="108" t="n">
        <v>81561</v>
      </c>
      <c r="E10" s="108" t="n">
        <v>62006</v>
      </c>
      <c r="F10" s="108" t="n">
        <v>61385</v>
      </c>
      <c r="G10" s="108" t="n">
        <v>66177</v>
      </c>
      <c r="H10" s="108" t="n">
        <v>128949</v>
      </c>
      <c r="I10" s="108" t="n">
        <v>116696</v>
      </c>
      <c r="J10" s="108" t="n">
        <f aca="false">+C10+E10+G10+I10-H10-F10-D10-B10</f>
        <v>-5416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 t="n">
        <v>335665</v>
      </c>
      <c r="C11" s="108" t="n">
        <v>339813</v>
      </c>
      <c r="D11" s="108" t="n">
        <v>69904</v>
      </c>
      <c r="E11" s="108" t="n">
        <v>62006</v>
      </c>
      <c r="F11" s="108" t="n">
        <v>64156</v>
      </c>
      <c r="G11" s="108" t="n">
        <v>66309</v>
      </c>
      <c r="H11" s="108" t="n">
        <v>123188</v>
      </c>
      <c r="I11" s="108" t="n">
        <v>131814</v>
      </c>
      <c r="J11" s="108" t="n">
        <f aca="false">+C11+E11+G11+I11-H11-F11-D11-B11</f>
        <v>7029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 t="n">
        <v>339468</v>
      </c>
      <c r="C12" s="108" t="n">
        <v>343257</v>
      </c>
      <c r="D12" s="108" t="n">
        <v>62256</v>
      </c>
      <c r="E12" s="108" t="n">
        <v>62006</v>
      </c>
      <c r="F12" s="108" t="n">
        <v>68558</v>
      </c>
      <c r="G12" s="108" t="n">
        <v>62714</v>
      </c>
      <c r="H12" s="108" t="n">
        <v>133641</v>
      </c>
      <c r="I12" s="108" t="n">
        <v>126893</v>
      </c>
      <c r="J12" s="108" t="n">
        <f aca="false">+C12+E12+G12+I12-H12-F12-D12-B12</f>
        <v>-9053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 t="n">
        <v>325004</v>
      </c>
      <c r="C13" s="108" t="n">
        <v>326102</v>
      </c>
      <c r="D13" s="108" t="n">
        <v>61460</v>
      </c>
      <c r="E13" s="108" t="n">
        <v>62006</v>
      </c>
      <c r="F13" s="108" t="n">
        <v>56382</v>
      </c>
      <c r="G13" s="108" t="n">
        <v>53686</v>
      </c>
      <c r="H13" s="108" t="n">
        <v>141587</v>
      </c>
      <c r="I13" s="108" t="n">
        <v>135180</v>
      </c>
      <c r="J13" s="108" t="n">
        <f aca="false">+C13+E13+G13+I13-H13-F13-D13-B13</f>
        <v>-7459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 t="n">
        <v>348691</v>
      </c>
      <c r="C14" s="108" t="n">
        <v>329322</v>
      </c>
      <c r="D14" s="108" t="n">
        <v>39888</v>
      </c>
      <c r="E14" s="108" t="n">
        <v>62006</v>
      </c>
      <c r="F14" s="108" t="n">
        <v>62036</v>
      </c>
      <c r="G14" s="108" t="n">
        <v>61116</v>
      </c>
      <c r="H14" s="108" t="n">
        <v>154963</v>
      </c>
      <c r="I14" s="108" t="n">
        <v>154094</v>
      </c>
      <c r="J14" s="108" t="n">
        <f aca="false">+C14+E14+G14+I14-H14-F14-D14-B14</f>
        <v>960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 t="n">
        <v>343074</v>
      </c>
      <c r="C15" s="108" t="n">
        <v>331485</v>
      </c>
      <c r="D15" s="108" t="n">
        <v>41056</v>
      </c>
      <c r="E15" s="108" t="n">
        <v>62006</v>
      </c>
      <c r="F15" s="108" t="n">
        <v>63625</v>
      </c>
      <c r="G15" s="108" t="n">
        <v>61306</v>
      </c>
      <c r="H15" s="108" t="n">
        <v>145898</v>
      </c>
      <c r="I15" s="108" t="n">
        <v>141767</v>
      </c>
      <c r="J15" s="108" t="n">
        <f aca="false">+C15+E15+G15+I15-H15-F15-D15-B15</f>
        <v>2911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 t="n">
        <v>329776</v>
      </c>
      <c r="C16" s="108" t="n">
        <v>327012</v>
      </c>
      <c r="D16" s="108" t="n">
        <v>46642</v>
      </c>
      <c r="E16" s="108" t="n">
        <v>59179</v>
      </c>
      <c r="F16" s="108" t="n">
        <v>62952</v>
      </c>
      <c r="G16" s="108" t="n">
        <v>61308</v>
      </c>
      <c r="H16" s="108" t="n">
        <v>138478</v>
      </c>
      <c r="I16" s="108" t="n">
        <v>126232</v>
      </c>
      <c r="J16" s="108" t="n">
        <f aca="false">+C16+E16+G16+I16-H16-F16-D16-B16</f>
        <v>-4117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 t="n">
        <v>326625</v>
      </c>
      <c r="C17" s="108" t="n">
        <v>336221</v>
      </c>
      <c r="D17" s="108" t="n">
        <v>37103</v>
      </c>
      <c r="E17" s="108" t="n">
        <v>26877</v>
      </c>
      <c r="F17" s="108" t="n">
        <v>56806</v>
      </c>
      <c r="G17" s="108" t="n">
        <v>58064</v>
      </c>
      <c r="H17" s="108" t="n">
        <v>133830</v>
      </c>
      <c r="I17" s="108" t="n">
        <v>131396</v>
      </c>
      <c r="J17" s="108" t="n">
        <f aca="false">+C17+E17+G17+I17-H17-F17-D17-B17</f>
        <v>-1806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 t="n">
        <v>336681</v>
      </c>
      <c r="C18" s="108" t="n">
        <v>332244</v>
      </c>
      <c r="D18" s="108" t="n">
        <v>61849</v>
      </c>
      <c r="E18" s="108" t="n">
        <v>62006</v>
      </c>
      <c r="F18" s="108" t="n">
        <v>56541</v>
      </c>
      <c r="G18" s="108" t="n">
        <v>57130</v>
      </c>
      <c r="H18" s="108" t="n">
        <v>149355</v>
      </c>
      <c r="I18" s="108" t="n">
        <v>149369</v>
      </c>
      <c r="J18" s="108" t="n">
        <f aca="false">+C18+E18+G18+I18-H18-F18-D18-B18</f>
        <v>-3677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 t="n">
        <v>330403</v>
      </c>
      <c r="C19" s="108" t="n">
        <v>330339</v>
      </c>
      <c r="D19" s="108" t="n">
        <v>63183</v>
      </c>
      <c r="E19" s="108" t="n">
        <v>62006</v>
      </c>
      <c r="F19" s="108" t="n">
        <v>56691</v>
      </c>
      <c r="G19" s="108" t="n">
        <v>58312</v>
      </c>
      <c r="H19" s="108" t="n">
        <v>153223</v>
      </c>
      <c r="I19" s="108" t="n">
        <v>151210</v>
      </c>
      <c r="J19" s="108" t="n">
        <f aca="false">+C19+E19+G19+I19-H19-F19-D19-B19</f>
        <v>-1633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 t="n">
        <v>334818</v>
      </c>
      <c r="C20" s="108" t="n">
        <v>346212</v>
      </c>
      <c r="D20" s="108" t="n">
        <v>81572</v>
      </c>
      <c r="E20" s="108" t="n">
        <v>62006</v>
      </c>
      <c r="F20" s="108" t="n">
        <v>63376</v>
      </c>
      <c r="G20" s="108" t="n">
        <v>65126</v>
      </c>
      <c r="H20" s="108" t="n">
        <v>135420</v>
      </c>
      <c r="I20" s="108" t="n">
        <v>142145</v>
      </c>
      <c r="J20" s="108" t="n">
        <f aca="false">+C20+E20+G20+I20-H20-F20-D20-B20</f>
        <v>303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 t="n">
        <v>366455</v>
      </c>
      <c r="C21" s="108" t="n">
        <v>357416</v>
      </c>
      <c r="D21" s="108" t="n">
        <v>64878</v>
      </c>
      <c r="E21" s="108" t="n">
        <v>62006</v>
      </c>
      <c r="F21" s="108" t="n">
        <v>59007</v>
      </c>
      <c r="G21" s="108" t="n">
        <v>58705</v>
      </c>
      <c r="H21" s="108" t="n">
        <v>125144</v>
      </c>
      <c r="I21" s="108" t="n">
        <v>131878</v>
      </c>
      <c r="J21" s="108" t="n">
        <f aca="false">+C21+E21+G21+I21-H21-F21-D21-B21</f>
        <v>-5479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 t="n">
        <v>297258</v>
      </c>
      <c r="C22" s="108" t="n">
        <v>320201</v>
      </c>
      <c r="D22" s="108" t="n">
        <v>63849</v>
      </c>
      <c r="E22" s="108" t="n">
        <v>62006</v>
      </c>
      <c r="F22" s="108" t="n">
        <v>57721</v>
      </c>
      <c r="G22" s="108" t="n">
        <v>60383</v>
      </c>
      <c r="H22" s="108" t="n">
        <v>126422</v>
      </c>
      <c r="I22" s="108" t="n">
        <v>129766</v>
      </c>
      <c r="J22" s="108" t="n">
        <f aca="false">+C22+E22+G22+I22-H22-F22-D22-B22</f>
        <v>27106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 t="n">
        <v>322632</v>
      </c>
      <c r="C23" s="108" t="n">
        <v>322211</v>
      </c>
      <c r="D23" s="108" t="n">
        <v>62973</v>
      </c>
      <c r="E23" s="108" t="n">
        <v>62006</v>
      </c>
      <c r="F23" s="108" t="n">
        <v>57755</v>
      </c>
      <c r="G23" s="108" t="n">
        <v>56963</v>
      </c>
      <c r="H23" s="108" t="n">
        <v>119641</v>
      </c>
      <c r="I23" s="108" t="n">
        <v>119045</v>
      </c>
      <c r="J23" s="108" t="n">
        <f aca="false">+C23+E23+G23+I23-H23-F23-D23-B23</f>
        <v>-2776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 t="n">
        <v>338791</v>
      </c>
      <c r="C24" s="108" t="n">
        <v>340947</v>
      </c>
      <c r="D24" s="108" t="n">
        <v>64404</v>
      </c>
      <c r="E24" s="108" t="n">
        <v>60467</v>
      </c>
      <c r="F24" s="108" t="n">
        <v>52773</v>
      </c>
      <c r="G24" s="108" t="n">
        <v>50154</v>
      </c>
      <c r="H24" s="108" t="n">
        <v>128561</v>
      </c>
      <c r="I24" s="108" t="n">
        <v>132981</v>
      </c>
      <c r="J24" s="108" t="n">
        <f aca="false">+C24+E24+G24+I24-H24-F24-D24-B24</f>
        <v>20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 t="n">
        <v>322113</v>
      </c>
      <c r="C25" s="108" t="n">
        <v>321612</v>
      </c>
      <c r="D25" s="108" t="n">
        <v>62032</v>
      </c>
      <c r="E25" s="108" t="n">
        <v>62005</v>
      </c>
      <c r="F25" s="108" t="n">
        <v>59462</v>
      </c>
      <c r="G25" s="108" t="n">
        <v>53971</v>
      </c>
      <c r="H25" s="108" t="n">
        <v>124463</v>
      </c>
      <c r="I25" s="108" t="n">
        <v>122727</v>
      </c>
      <c r="J25" s="108" t="n">
        <f aca="false">+C25+E25+G25+I25-H25-F25-D25-B25</f>
        <v>-7755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 t="n">
        <v>317312</v>
      </c>
      <c r="C26" s="108" t="n">
        <v>313150</v>
      </c>
      <c r="D26" s="108" t="n">
        <v>62012</v>
      </c>
      <c r="E26" s="108" t="n">
        <v>60837</v>
      </c>
      <c r="F26" s="108" t="n">
        <v>54209</v>
      </c>
      <c r="G26" s="108" t="n">
        <v>52721</v>
      </c>
      <c r="H26" s="108" t="n">
        <v>140828</v>
      </c>
      <c r="I26" s="108" t="n">
        <v>137994</v>
      </c>
      <c r="J26" s="108" t="n">
        <f aca="false">+C26+E26+G26+I26-H26-F26-D26-B26</f>
        <v>-9659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 t="n">
        <v>280757</v>
      </c>
      <c r="C27" s="108" t="n">
        <v>274743</v>
      </c>
      <c r="D27" s="108" t="n">
        <v>68585</v>
      </c>
      <c r="E27" s="108" t="n">
        <v>82867</v>
      </c>
      <c r="F27" s="108" t="n">
        <v>51834</v>
      </c>
      <c r="G27" s="108" t="n">
        <v>49477</v>
      </c>
      <c r="H27" s="108" t="n">
        <v>139939</v>
      </c>
      <c r="I27" s="108" t="n">
        <v>138872</v>
      </c>
      <c r="J27" s="108" t="n">
        <f aca="false">+C27+E27+G27+I27-H27-F27-D27-B27</f>
        <v>4844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 t="n">
        <v>305788</v>
      </c>
      <c r="C28" s="108" t="n">
        <v>302147</v>
      </c>
      <c r="D28" s="108" t="n">
        <v>64078</v>
      </c>
      <c r="E28" s="108" t="n">
        <v>62006</v>
      </c>
      <c r="F28" s="108" t="n">
        <v>47855</v>
      </c>
      <c r="G28" s="108" t="n">
        <v>55810</v>
      </c>
      <c r="H28" s="108" t="n">
        <v>117719</v>
      </c>
      <c r="I28" s="108" t="n">
        <v>111618</v>
      </c>
      <c r="J28" s="108" t="n">
        <f aca="false">+C28+E28+G28+I28-H28-F28-D28-B28</f>
        <v>-3859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 t="n">
        <v>295178</v>
      </c>
      <c r="C29" s="108" t="n">
        <v>298389</v>
      </c>
      <c r="D29" s="108" t="n">
        <v>65205</v>
      </c>
      <c r="E29" s="108" t="n">
        <v>62005</v>
      </c>
      <c r="F29" s="108" t="n">
        <v>55023</v>
      </c>
      <c r="G29" s="108" t="n">
        <v>53622</v>
      </c>
      <c r="H29" s="108" t="n">
        <v>104372</v>
      </c>
      <c r="I29" s="108" t="n">
        <v>97955</v>
      </c>
      <c r="J29" s="108" t="n">
        <f aca="false">+C29+E29+G29+I29-H29-F29-D29-B29</f>
        <v>-7807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 t="n">
        <v>301030</v>
      </c>
      <c r="C30" s="108" t="n">
        <v>288651</v>
      </c>
      <c r="D30" s="108" t="n">
        <v>72674</v>
      </c>
      <c r="E30" s="108" t="n">
        <v>73405</v>
      </c>
      <c r="F30" s="108" t="n">
        <v>56192</v>
      </c>
      <c r="G30" s="108" t="n">
        <v>57750</v>
      </c>
      <c r="H30" s="108" t="n">
        <v>113141</v>
      </c>
      <c r="I30" s="108" t="n">
        <v>119034</v>
      </c>
      <c r="J30" s="108" t="n">
        <f aca="false">+C30+E30+G30+I30-H30-F30-D30-B30</f>
        <v>-4197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 t="n">
        <v>289986</v>
      </c>
      <c r="C31" s="108" t="n">
        <v>292909</v>
      </c>
      <c r="D31" s="108" t="n">
        <v>71570</v>
      </c>
      <c r="E31" s="108" t="n">
        <v>73406</v>
      </c>
      <c r="F31" s="108" t="n">
        <v>59857</v>
      </c>
      <c r="G31" s="108" t="n">
        <v>57198</v>
      </c>
      <c r="H31" s="108" t="n">
        <v>130778</v>
      </c>
      <c r="I31" s="108" t="n">
        <v>130823</v>
      </c>
      <c r="J31" s="108" t="n">
        <f aca="false">+C31+E31+G31+I31-H31-F31-D31-B31</f>
        <v>2145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 t="n">
        <v>304370</v>
      </c>
      <c r="C32" s="108" t="n">
        <v>317739</v>
      </c>
      <c r="D32" s="108" t="n">
        <v>73967</v>
      </c>
      <c r="E32" s="108" t="n">
        <v>63006</v>
      </c>
      <c r="F32" s="108" t="n">
        <v>54309</v>
      </c>
      <c r="G32" s="108" t="n">
        <v>51528</v>
      </c>
      <c r="H32" s="108" t="n">
        <v>100425</v>
      </c>
      <c r="I32" s="108" t="n">
        <v>90768</v>
      </c>
      <c r="J32" s="108" t="n">
        <f aca="false">+C32+E32+G32+I32-H32-F32-D32-B32</f>
        <v>-10030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9375105</v>
      </c>
      <c r="C35" s="108" t="n">
        <f aca="false">SUM(C4:C34)</f>
        <v>9502796</v>
      </c>
      <c r="D35" s="108" t="n">
        <f aca="false">SUM(D4:D34)</f>
        <v>1878776</v>
      </c>
      <c r="E35" s="108" t="n">
        <f aca="false">SUM(E4:E34)</f>
        <v>1785496</v>
      </c>
      <c r="F35" s="108" t="n">
        <f aca="false">SUM(F4:F34)</f>
        <v>1718209</v>
      </c>
      <c r="G35" s="108" t="n">
        <f aca="false">SUM(G4:G34)</f>
        <v>1699104</v>
      </c>
      <c r="H35" s="108" t="n">
        <f aca="false">SUM(H4:H34)</f>
        <v>3764896</v>
      </c>
      <c r="I35" s="108" t="n">
        <f aca="false">SUM(I4:I34)</f>
        <v>3714252</v>
      </c>
      <c r="J35" s="108" t="n">
        <f aca="false">SUM(J4:J34)</f>
        <v>-35338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37103</v>
      </c>
      <c r="C38" s="120"/>
      <c r="E38" s="120"/>
      <c r="G38" s="120"/>
      <c r="I38" s="120"/>
      <c r="J38" s="121" t="n">
        <v>310268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37132</v>
      </c>
      <c r="J40" s="108" t="n">
        <f aca="false">+J38+J35</f>
        <v>274930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37103</v>
      </c>
      <c r="B46" s="9"/>
      <c r="C46" s="9"/>
      <c r="D46" s="125" t="n">
        <v>1379269.57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37132</v>
      </c>
      <c r="B47" s="9"/>
      <c r="C47" s="9"/>
      <c r="D47" s="126" t="n">
        <f aca="false">+J35*'by type'!J3</f>
        <v>-92232.18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1287037.39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5" activeCellId="3" sqref="A1 E34 D40 C35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58</v>
      </c>
    </row>
    <row r="4" customFormat="false" ht="12.75" hidden="false" customHeight="false" outlineLevel="0" collapsed="false">
      <c r="A4" s="136"/>
      <c r="B4" s="188" t="s">
        <v>203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49839</v>
      </c>
      <c r="C6" s="108" t="n">
        <v>42521</v>
      </c>
      <c r="D6" s="120" t="n">
        <f aca="false">+C6-B6</f>
        <v>-7318</v>
      </c>
    </row>
    <row r="7" customFormat="false" ht="12.75" hidden="false" customHeight="false" outlineLevel="0" collapsed="false">
      <c r="A7" s="107" t="n">
        <v>2</v>
      </c>
      <c r="B7" s="108" t="n">
        <v>58661</v>
      </c>
      <c r="C7" s="108" t="n">
        <v>61095</v>
      </c>
      <c r="D7" s="120" t="n">
        <f aca="false">+C7-B7</f>
        <v>2434</v>
      </c>
    </row>
    <row r="8" customFormat="false" ht="12.75" hidden="false" customHeight="false" outlineLevel="0" collapsed="false">
      <c r="A8" s="107" t="n">
        <v>3</v>
      </c>
      <c r="B8" s="108" t="n">
        <v>57956</v>
      </c>
      <c r="C8" s="108" t="n">
        <v>59505</v>
      </c>
      <c r="D8" s="120" t="n">
        <f aca="false">+C8-B8</f>
        <v>1549</v>
      </c>
    </row>
    <row r="9" customFormat="false" ht="12.75" hidden="false" customHeight="false" outlineLevel="0" collapsed="false">
      <c r="A9" s="107" t="n">
        <v>4</v>
      </c>
      <c r="B9" s="108" t="n">
        <v>62170</v>
      </c>
      <c r="C9" s="108" t="n">
        <v>61574</v>
      </c>
      <c r="D9" s="120" t="n">
        <f aca="false">+C9-B9</f>
        <v>-596</v>
      </c>
    </row>
    <row r="10" customFormat="false" ht="12.75" hidden="false" customHeight="false" outlineLevel="0" collapsed="false">
      <c r="A10" s="107" t="n">
        <v>5</v>
      </c>
      <c r="B10" s="108" t="n">
        <v>63269</v>
      </c>
      <c r="C10" s="108" t="n">
        <v>58996</v>
      </c>
      <c r="D10" s="120" t="n">
        <f aca="false">+C10-B10</f>
        <v>-4273</v>
      </c>
    </row>
    <row r="11" customFormat="false" ht="12.75" hidden="false" customHeight="false" outlineLevel="0" collapsed="false">
      <c r="A11" s="107" t="n">
        <v>6</v>
      </c>
      <c r="B11" s="108" t="n">
        <v>62745</v>
      </c>
      <c r="C11" s="108" t="n">
        <v>62359</v>
      </c>
      <c r="D11" s="120" t="n">
        <f aca="false">+C11-B11</f>
        <v>-386</v>
      </c>
    </row>
    <row r="12" customFormat="false" ht="12.75" hidden="false" customHeight="false" outlineLevel="0" collapsed="false">
      <c r="A12" s="107" t="n">
        <v>7</v>
      </c>
      <c r="B12" s="108" t="n">
        <v>66886</v>
      </c>
      <c r="C12" s="108" t="n">
        <v>73126</v>
      </c>
      <c r="D12" s="120" t="n">
        <f aca="false">+C12-B12</f>
        <v>6240</v>
      </c>
    </row>
    <row r="13" customFormat="false" ht="12.75" hidden="false" customHeight="false" outlineLevel="0" collapsed="false">
      <c r="A13" s="107" t="n">
        <v>8</v>
      </c>
      <c r="B13" s="108" t="n">
        <v>66326</v>
      </c>
      <c r="C13" s="108" t="n">
        <v>65213</v>
      </c>
      <c r="D13" s="120" t="n">
        <f aca="false">+C13-B13</f>
        <v>-1113</v>
      </c>
    </row>
    <row r="14" customFormat="false" ht="12.75" hidden="false" customHeight="false" outlineLevel="0" collapsed="false">
      <c r="A14" s="107" t="n">
        <v>9</v>
      </c>
      <c r="B14" s="108" t="n">
        <v>63811</v>
      </c>
      <c r="C14" s="108" t="n">
        <v>63118</v>
      </c>
      <c r="D14" s="120" t="n">
        <f aca="false">+C14-B14</f>
        <v>-693</v>
      </c>
    </row>
    <row r="15" customFormat="false" ht="12.75" hidden="false" customHeight="false" outlineLevel="0" collapsed="false">
      <c r="A15" s="107" t="n">
        <v>10</v>
      </c>
      <c r="B15" s="108" t="n">
        <v>60111</v>
      </c>
      <c r="C15" s="108" t="n">
        <v>59591</v>
      </c>
      <c r="D15" s="120" t="n">
        <f aca="false">+C15-B15</f>
        <v>-520</v>
      </c>
    </row>
    <row r="16" customFormat="false" ht="12.75" hidden="false" customHeight="false" outlineLevel="0" collapsed="false">
      <c r="A16" s="107" t="n">
        <v>11</v>
      </c>
      <c r="B16" s="108" t="n">
        <v>64319</v>
      </c>
      <c r="C16" s="108" t="n">
        <v>64464</v>
      </c>
      <c r="D16" s="120" t="n">
        <f aca="false">+C16-B16</f>
        <v>145</v>
      </c>
    </row>
    <row r="17" customFormat="false" ht="12.75" hidden="false" customHeight="false" outlineLevel="0" collapsed="false">
      <c r="A17" s="107" t="n">
        <v>12</v>
      </c>
      <c r="B17" s="108" t="n">
        <v>64945</v>
      </c>
      <c r="C17" s="108" t="n">
        <v>63665</v>
      </c>
      <c r="D17" s="120" t="n">
        <f aca="false">+C17-B17</f>
        <v>-1280</v>
      </c>
    </row>
    <row r="18" customFormat="false" ht="12.75" hidden="false" customHeight="false" outlineLevel="0" collapsed="false">
      <c r="A18" s="107" t="n">
        <v>13</v>
      </c>
      <c r="B18" s="108" t="n">
        <v>64939</v>
      </c>
      <c r="C18" s="108" t="n">
        <v>64464</v>
      </c>
      <c r="D18" s="120" t="n">
        <f aca="false">+C18-B18</f>
        <v>-475</v>
      </c>
    </row>
    <row r="19" customFormat="false" ht="12.75" hidden="false" customHeight="false" outlineLevel="0" collapsed="false">
      <c r="A19" s="107" t="n">
        <v>14</v>
      </c>
      <c r="B19" s="108" t="n">
        <v>63062</v>
      </c>
      <c r="C19" s="108" t="n">
        <v>63411</v>
      </c>
      <c r="D19" s="120" t="n">
        <f aca="false">+C19-B19</f>
        <v>349</v>
      </c>
    </row>
    <row r="20" customFormat="false" ht="12.75" hidden="false" customHeight="false" outlineLevel="0" collapsed="false">
      <c r="A20" s="107" t="n">
        <v>15</v>
      </c>
      <c r="B20" s="108" t="n">
        <v>56053</v>
      </c>
      <c r="C20" s="108" t="n">
        <v>59448</v>
      </c>
      <c r="D20" s="120" t="n">
        <f aca="false">+C20-B20</f>
        <v>3395</v>
      </c>
    </row>
    <row r="21" customFormat="false" ht="12.75" hidden="false" customHeight="false" outlineLevel="0" collapsed="false">
      <c r="A21" s="107" t="n">
        <v>16</v>
      </c>
      <c r="B21" s="108" t="n">
        <v>62374</v>
      </c>
      <c r="C21" s="108" t="n">
        <v>63447</v>
      </c>
      <c r="D21" s="120" t="n">
        <f aca="false">+C21-B21</f>
        <v>1073</v>
      </c>
    </row>
    <row r="22" customFormat="false" ht="12.75" hidden="false" customHeight="false" outlineLevel="0" collapsed="false">
      <c r="A22" s="107" t="n">
        <v>17</v>
      </c>
      <c r="B22" s="108" t="n">
        <v>61677</v>
      </c>
      <c r="C22" s="108" t="n">
        <v>61277</v>
      </c>
      <c r="D22" s="120" t="n">
        <f aca="false">+C22-B22</f>
        <v>-400</v>
      </c>
    </row>
    <row r="23" customFormat="false" ht="12.75" hidden="false" customHeight="false" outlineLevel="0" collapsed="false">
      <c r="A23" s="107" t="n">
        <v>18</v>
      </c>
      <c r="B23" s="108" t="n">
        <v>60811</v>
      </c>
      <c r="C23" s="108" t="n">
        <v>60711</v>
      </c>
      <c r="D23" s="120" t="n">
        <f aca="false">+C23-B23</f>
        <v>-100</v>
      </c>
    </row>
    <row r="24" customFormat="false" ht="12.75" hidden="false" customHeight="false" outlineLevel="0" collapsed="false">
      <c r="A24" s="107" t="n">
        <v>19</v>
      </c>
      <c r="B24" s="108" t="n">
        <v>60896</v>
      </c>
      <c r="C24" s="108" t="n">
        <v>60711</v>
      </c>
      <c r="D24" s="120" t="n">
        <f aca="false">+C24-B24</f>
        <v>-185</v>
      </c>
    </row>
    <row r="25" customFormat="false" ht="12.75" hidden="false" customHeight="false" outlineLevel="0" collapsed="false">
      <c r="A25" s="107" t="n">
        <v>20</v>
      </c>
      <c r="B25" s="108" t="n">
        <v>60946</v>
      </c>
      <c r="C25" s="108" t="n">
        <v>60636</v>
      </c>
      <c r="D25" s="120" t="n">
        <f aca="false">+C25-B25</f>
        <v>-310</v>
      </c>
    </row>
    <row r="26" customFormat="false" ht="12.75" hidden="false" customHeight="false" outlineLevel="0" collapsed="false">
      <c r="A26" s="107" t="n">
        <v>21</v>
      </c>
      <c r="B26" s="108" t="n">
        <v>61474</v>
      </c>
      <c r="C26" s="108" t="n">
        <v>63821</v>
      </c>
      <c r="D26" s="120" t="n">
        <f aca="false">+C26-B26</f>
        <v>2347</v>
      </c>
    </row>
    <row r="27" customFormat="false" ht="12.75" hidden="false" customHeight="false" outlineLevel="0" collapsed="false">
      <c r="A27" s="107" t="n">
        <v>22</v>
      </c>
      <c r="B27" s="108" t="n">
        <v>48657</v>
      </c>
      <c r="C27" s="108" t="n">
        <v>48609</v>
      </c>
      <c r="D27" s="120" t="n">
        <f aca="false">+C27-B27</f>
        <v>-48</v>
      </c>
    </row>
    <row r="28" customFormat="false" ht="12.75" hidden="false" customHeight="false" outlineLevel="0" collapsed="false">
      <c r="A28" s="107" t="n">
        <v>23</v>
      </c>
      <c r="B28" s="108" t="n">
        <v>59613</v>
      </c>
      <c r="C28" s="108" t="n">
        <v>60860</v>
      </c>
      <c r="D28" s="120" t="n">
        <f aca="false">+C28-B28</f>
        <v>1247</v>
      </c>
    </row>
    <row r="29" customFormat="false" ht="12.75" hidden="false" customHeight="false" outlineLevel="0" collapsed="false">
      <c r="A29" s="107" t="n">
        <v>24</v>
      </c>
      <c r="B29" s="108" t="n">
        <v>63878</v>
      </c>
      <c r="C29" s="108" t="n">
        <v>65031</v>
      </c>
      <c r="D29" s="120" t="n">
        <f aca="false">+C29-B29</f>
        <v>1153</v>
      </c>
    </row>
    <row r="30" customFormat="false" ht="12.75" hidden="false" customHeight="false" outlineLevel="0" collapsed="false">
      <c r="A30" s="107" t="n">
        <v>25</v>
      </c>
      <c r="B30" s="108" t="n">
        <v>50648</v>
      </c>
      <c r="C30" s="108" t="n">
        <v>51858</v>
      </c>
      <c r="D30" s="120" t="n">
        <f aca="false">+C30-B30</f>
        <v>1210</v>
      </c>
    </row>
    <row r="31" customFormat="false" ht="12.75" hidden="false" customHeight="false" outlineLevel="0" collapsed="false">
      <c r="A31" s="107" t="n">
        <v>26</v>
      </c>
      <c r="B31" s="108" t="n">
        <v>52883</v>
      </c>
      <c r="C31" s="108" t="n">
        <v>52171</v>
      </c>
      <c r="D31" s="120" t="n">
        <f aca="false">+C31-B31</f>
        <v>-712</v>
      </c>
    </row>
    <row r="32" customFormat="false" ht="12.75" hidden="false" customHeight="false" outlineLevel="0" collapsed="false">
      <c r="A32" s="107" t="n">
        <v>27</v>
      </c>
      <c r="B32" s="108" t="n">
        <v>53302</v>
      </c>
      <c r="C32" s="108" t="n">
        <v>52307</v>
      </c>
      <c r="D32" s="120" t="n">
        <f aca="false">+C32-B32</f>
        <v>-995</v>
      </c>
    </row>
    <row r="33" customFormat="false" ht="12.75" hidden="false" customHeight="false" outlineLevel="0" collapsed="false">
      <c r="A33" s="107" t="n">
        <v>28</v>
      </c>
      <c r="B33" s="108" t="n">
        <v>56337</v>
      </c>
      <c r="C33" s="108" t="n">
        <v>61795</v>
      </c>
      <c r="D33" s="120" t="n">
        <f aca="false">+C33-B33</f>
        <v>5458</v>
      </c>
    </row>
    <row r="34" customFormat="false" ht="12.75" hidden="false" customHeight="false" outlineLevel="0" collapsed="false">
      <c r="A34" s="107" t="n">
        <v>29</v>
      </c>
      <c r="B34" s="108" t="n">
        <v>61789</v>
      </c>
      <c r="C34" s="108" t="n">
        <v>60282</v>
      </c>
      <c r="D34" s="120" t="n">
        <f aca="false">+C34-B34</f>
        <v>-1507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1740377</v>
      </c>
      <c r="C37" s="108" t="n">
        <f aca="false">SUM(C6:C36)</f>
        <v>1746066</v>
      </c>
      <c r="D37" s="120" t="n">
        <f aca="false">SUM(D6:D36)</f>
        <v>5689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2.85</v>
      </c>
    </row>
    <row r="39" customFormat="false" ht="12.75" hidden="false" customHeight="false" outlineLevel="0" collapsed="false">
      <c r="D39" s="132" t="n">
        <f aca="false">+D38*D37</f>
        <v>16213.65</v>
      </c>
    </row>
    <row r="40" customFormat="false" ht="12.75" hidden="false" customHeight="false" outlineLevel="0" collapsed="false">
      <c r="A40" s="152" t="n">
        <v>37103</v>
      </c>
      <c r="C40" s="79"/>
      <c r="D40" s="407" t="n">
        <v>0</v>
      </c>
    </row>
    <row r="41" customFormat="false" ht="12.75" hidden="false" customHeight="false" outlineLevel="0" collapsed="false">
      <c r="A41" s="152" t="n">
        <v>37132</v>
      </c>
      <c r="C41" s="151"/>
      <c r="D41" s="132" t="n">
        <f aca="false">+D40+D39</f>
        <v>16213.65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1" t="n">
        <v>53363</v>
      </c>
    </row>
    <row r="47" customFormat="false" ht="12.75" hidden="false" customHeight="false" outlineLevel="0" collapsed="false">
      <c r="A47" s="124" t="n">
        <f aca="false">+A41</f>
        <v>37132</v>
      </c>
      <c r="B47" s="9"/>
      <c r="C47" s="9"/>
      <c r="D47" s="37" t="n">
        <f aca="false">+D37</f>
        <v>5689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59052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45" activeCellId="3" sqref="A1 A1 D40 C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10" t="s">
        <v>204</v>
      </c>
      <c r="C4" s="282"/>
      <c r="D4" s="136"/>
      <c r="E4" s="282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-2001</v>
      </c>
      <c r="C6" s="108" t="n">
        <v>-2139</v>
      </c>
      <c r="D6" s="120" t="n">
        <f aca="false">+C6-B6</f>
        <v>-138</v>
      </c>
    </row>
    <row r="7" customFormat="false" ht="12.75" hidden="false" customHeight="false" outlineLevel="0" collapsed="false">
      <c r="A7" s="107" t="n">
        <v>2</v>
      </c>
      <c r="B7" s="108" t="n">
        <v>-79</v>
      </c>
      <c r="C7" s="108" t="n">
        <v>-2139</v>
      </c>
      <c r="D7" s="120" t="n">
        <f aca="false">+C7-B7</f>
        <v>-2060</v>
      </c>
    </row>
    <row r="8" customFormat="false" ht="12.75" hidden="false" customHeight="false" outlineLevel="0" collapsed="false">
      <c r="A8" s="107" t="n">
        <v>3</v>
      </c>
      <c r="B8" s="108" t="n">
        <v>-553</v>
      </c>
      <c r="C8" s="108" t="n">
        <v>-2453</v>
      </c>
      <c r="D8" s="120" t="n">
        <f aca="false">+C8-B8</f>
        <v>-1900</v>
      </c>
    </row>
    <row r="9" customFormat="false" ht="12.75" hidden="false" customHeight="false" outlineLevel="0" collapsed="false">
      <c r="A9" s="107" t="n">
        <v>4</v>
      </c>
      <c r="B9" s="108" t="n">
        <v>-1052</v>
      </c>
      <c r="C9" s="108" t="n">
        <v>-2453</v>
      </c>
      <c r="D9" s="120" t="n">
        <f aca="false">+C9-B9</f>
        <v>-1401</v>
      </c>
    </row>
    <row r="10" customFormat="false" ht="12.75" hidden="false" customHeight="false" outlineLevel="0" collapsed="false">
      <c r="A10" s="107" t="n">
        <v>5</v>
      </c>
      <c r="B10" s="108" t="n">
        <v>-1743</v>
      </c>
      <c r="C10" s="108" t="n">
        <v>-2453</v>
      </c>
      <c r="D10" s="120" t="n">
        <f aca="false">+C10-B10</f>
        <v>-710</v>
      </c>
    </row>
    <row r="11" customFormat="false" ht="12.75" hidden="false" customHeight="false" outlineLevel="0" collapsed="false">
      <c r="A11" s="107" t="n">
        <v>6</v>
      </c>
      <c r="B11" s="108" t="n">
        <v>-1725</v>
      </c>
      <c r="C11" s="108" t="n">
        <v>-2453</v>
      </c>
      <c r="D11" s="120" t="n">
        <f aca="false">+C11-B11</f>
        <v>-728</v>
      </c>
    </row>
    <row r="12" customFormat="false" ht="12.75" hidden="false" customHeight="false" outlineLevel="0" collapsed="false">
      <c r="A12" s="107" t="n">
        <v>7</v>
      </c>
      <c r="B12" s="108" t="n">
        <v>-1957</v>
      </c>
      <c r="C12" s="108" t="n">
        <v>-2139</v>
      </c>
      <c r="D12" s="120" t="n">
        <f aca="false">+C12-B12</f>
        <v>-182</v>
      </c>
    </row>
    <row r="13" customFormat="false" ht="12.75" hidden="false" customHeight="false" outlineLevel="0" collapsed="false">
      <c r="A13" s="107" t="n">
        <v>8</v>
      </c>
      <c r="B13" s="108" t="n">
        <v>-1968</v>
      </c>
      <c r="C13" s="108" t="n">
        <v>-2139</v>
      </c>
      <c r="D13" s="120" t="n">
        <f aca="false">+C13-B13</f>
        <v>-171</v>
      </c>
      <c r="H13" s="173"/>
      <c r="I13" s="5"/>
      <c r="J13" s="5"/>
      <c r="K13" s="174"/>
      <c r="L13" s="175" t="s">
        <v>125</v>
      </c>
      <c r="M13" s="174"/>
    </row>
    <row r="14" customFormat="false" ht="12.75" hidden="false" customHeight="false" outlineLevel="0" collapsed="false">
      <c r="A14" s="107" t="n">
        <v>9</v>
      </c>
      <c r="B14" s="108" t="n">
        <v>-76</v>
      </c>
      <c r="C14" s="108" t="n">
        <v>-711</v>
      </c>
      <c r="D14" s="120" t="n">
        <f aca="false">+C14-B14</f>
        <v>-635</v>
      </c>
      <c r="H14" s="173" t="s">
        <v>117</v>
      </c>
      <c r="I14" s="176" t="s">
        <v>115</v>
      </c>
      <c r="J14" s="176" t="s">
        <v>116</v>
      </c>
      <c r="K14" s="177" t="s">
        <v>118</v>
      </c>
      <c r="L14" s="175" t="s">
        <v>119</v>
      </c>
      <c r="M14" s="174" t="s">
        <v>120</v>
      </c>
    </row>
    <row r="15" customFormat="false" ht="12.75" hidden="false" customHeight="false" outlineLevel="0" collapsed="false">
      <c r="A15" s="107" t="n">
        <v>10</v>
      </c>
      <c r="B15" s="108" t="n">
        <v>-800</v>
      </c>
      <c r="C15" s="108" t="n">
        <v>-2139</v>
      </c>
      <c r="D15" s="120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 t="n">
        <v>-1249</v>
      </c>
      <c r="C16" s="108" t="n">
        <v>-2139</v>
      </c>
      <c r="D16" s="120" t="n">
        <f aca="false">+C16-B16</f>
        <v>-890</v>
      </c>
      <c r="H16" s="173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5" t="n">
        <v>8.21</v>
      </c>
      <c r="M16" s="178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 t="n">
        <v>-1989</v>
      </c>
      <c r="C17" s="108" t="n">
        <v>-2139</v>
      </c>
      <c r="D17" s="120" t="n">
        <f aca="false">+C17-B17</f>
        <v>-150</v>
      </c>
      <c r="H17" s="173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5" t="n">
        <v>5.62</v>
      </c>
      <c r="M17" s="178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 t="n">
        <v>-1956</v>
      </c>
      <c r="C18" s="108" t="n">
        <v>-2139</v>
      </c>
      <c r="D18" s="120" t="n">
        <f aca="false">+C18-B18</f>
        <v>-183</v>
      </c>
      <c r="H18" s="173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5" t="n">
        <v>4.98</v>
      </c>
      <c r="M18" s="178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 t="n">
        <v>-1952</v>
      </c>
      <c r="C19" s="108" t="n">
        <v>-2139</v>
      </c>
      <c r="D19" s="120" t="n">
        <f aca="false">+C19-B19</f>
        <v>-187</v>
      </c>
      <c r="H19" s="173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5" t="n">
        <v>4.87</v>
      </c>
      <c r="M19" s="178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 t="n">
        <v>-1924</v>
      </c>
      <c r="C20" s="108" t="n">
        <v>-2139</v>
      </c>
      <c r="D20" s="120" t="n">
        <f aca="false">+C20-B20</f>
        <v>-215</v>
      </c>
      <c r="H20" s="173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5" t="n">
        <v>3.82</v>
      </c>
      <c r="M20" s="178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 t="n">
        <v>-530</v>
      </c>
      <c r="C21" s="108" t="n">
        <v>-2250</v>
      </c>
      <c r="D21" s="120" t="n">
        <f aca="false">+C21-B21</f>
        <v>-1720</v>
      </c>
      <c r="H21" s="173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5" t="n">
        <v>3.2</v>
      </c>
      <c r="M21" s="178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 t="n">
        <v>-528</v>
      </c>
      <c r="C22" s="108" t="n">
        <v>-2139</v>
      </c>
      <c r="D22" s="120" t="n">
        <f aca="false">+C22-B22</f>
        <v>-1611</v>
      </c>
      <c r="H22" s="173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5" t="n">
        <v>2.77</v>
      </c>
      <c r="M22" s="179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 t="n">
        <v>-1187</v>
      </c>
      <c r="C23" s="108" t="n">
        <v>-2139</v>
      </c>
      <c r="D23" s="120" t="n">
        <f aca="false">+C23-B23</f>
        <v>-952</v>
      </c>
      <c r="H23" s="5"/>
      <c r="I23" s="128"/>
      <c r="J23" s="128"/>
      <c r="K23" s="128"/>
      <c r="L23" s="180"/>
      <c r="M23" s="181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 t="n">
        <v>-1956</v>
      </c>
      <c r="C24" s="108" t="n">
        <v>-1979</v>
      </c>
      <c r="D24" s="120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 t="n">
        <v>-2023</v>
      </c>
      <c r="C25" s="108" t="n">
        <v>-625</v>
      </c>
      <c r="D25" s="120" t="n">
        <f aca="false">+C25-B25</f>
        <v>1398</v>
      </c>
    </row>
    <row r="26" customFormat="false" ht="12.75" hidden="false" customHeight="false" outlineLevel="0" collapsed="false">
      <c r="A26" s="107" t="n">
        <v>21</v>
      </c>
      <c r="B26" s="108" t="n">
        <v>-1961</v>
      </c>
      <c r="C26" s="108" t="n">
        <v>-2139</v>
      </c>
      <c r="D26" s="120" t="n">
        <f aca="false">+C26-B26</f>
        <v>-178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 t="n">
        <v>-1992</v>
      </c>
      <c r="C27" s="108" t="n">
        <v>-2139</v>
      </c>
      <c r="D27" s="120" t="n">
        <f aca="false">+C27-B27</f>
        <v>-147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 t="n">
        <v>-78</v>
      </c>
      <c r="C28" s="108" t="n">
        <v>-2139</v>
      </c>
      <c r="D28" s="120" t="n">
        <f aca="false">+C28-B28</f>
        <v>-2061</v>
      </c>
    </row>
    <row r="29" customFormat="false" ht="12.75" hidden="false" customHeight="false" outlineLevel="0" collapsed="false">
      <c r="A29" s="107" t="n">
        <v>24</v>
      </c>
      <c r="B29" s="108" t="n">
        <v>-566</v>
      </c>
      <c r="C29" s="108" t="n">
        <v>-714</v>
      </c>
      <c r="D29" s="120" t="n">
        <f aca="false">+C29-B29</f>
        <v>-148</v>
      </c>
    </row>
    <row r="30" customFormat="false" ht="12.75" hidden="false" customHeight="false" outlineLevel="0" collapsed="false">
      <c r="A30" s="107" t="n">
        <v>25</v>
      </c>
      <c r="B30" s="108" t="n">
        <v>-1350</v>
      </c>
      <c r="C30" s="108" t="n">
        <v>-714</v>
      </c>
      <c r="D30" s="120" t="n">
        <f aca="false">+C30-B30</f>
        <v>636</v>
      </c>
    </row>
    <row r="31" customFormat="false" ht="12.75" hidden="false" customHeight="false" outlineLevel="0" collapsed="false">
      <c r="A31" s="107" t="n">
        <v>26</v>
      </c>
      <c r="B31" s="108" t="n">
        <v>-2060</v>
      </c>
      <c r="C31" s="108" t="n">
        <v>-714</v>
      </c>
      <c r="D31" s="120" t="n">
        <f aca="false">+C31-B31</f>
        <v>1346</v>
      </c>
    </row>
    <row r="32" customFormat="false" ht="12.75" hidden="false" customHeight="false" outlineLevel="0" collapsed="false">
      <c r="A32" s="107" t="n">
        <v>27</v>
      </c>
      <c r="B32" s="108" t="n">
        <v>-2032</v>
      </c>
      <c r="C32" s="108" t="n">
        <v>-714</v>
      </c>
      <c r="D32" s="120" t="n">
        <f aca="false">+C32-B32</f>
        <v>1318</v>
      </c>
    </row>
    <row r="33" customFormat="false" ht="12.75" hidden="false" customHeight="false" outlineLevel="0" collapsed="false">
      <c r="A33" s="107" t="n">
        <v>28</v>
      </c>
      <c r="B33" s="108" t="n">
        <v>-1930</v>
      </c>
      <c r="C33" s="108" t="n">
        <v>-714</v>
      </c>
      <c r="D33" s="120" t="n">
        <f aca="false">+C33-B33</f>
        <v>1216</v>
      </c>
    </row>
    <row r="34" customFormat="false" ht="12.75" hidden="false" customHeight="false" outlineLevel="0" collapsed="false">
      <c r="A34" s="107" t="n">
        <v>29</v>
      </c>
      <c r="B34" s="108" t="n">
        <v>-2002</v>
      </c>
      <c r="C34" s="108" t="n">
        <v>-714</v>
      </c>
      <c r="D34" s="120" t="n">
        <f aca="false">+C34-B34</f>
        <v>1288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-41219</v>
      </c>
      <c r="C37" s="108" t="n">
        <f aca="false">SUM(C6:C36)</f>
        <v>-51746</v>
      </c>
      <c r="D37" s="120" t="n">
        <f aca="false">SUM(D6:D36)</f>
        <v>-10527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2.77</v>
      </c>
    </row>
    <row r="39" customFormat="false" ht="12.75" hidden="false" customHeight="false" outlineLevel="0" collapsed="false">
      <c r="D39" s="132" t="n">
        <f aca="false">+D38*D37</f>
        <v>-29159.79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-394244.14</v>
      </c>
    </row>
    <row r="41" customFormat="false" ht="12.75" hidden="false" customHeight="false" outlineLevel="0" collapsed="false">
      <c r="A41" s="152" t="n">
        <v>37132</v>
      </c>
      <c r="C41" s="151"/>
      <c r="D41" s="132" t="n">
        <f aca="false">+D40+D39</f>
        <v>-423403.93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37103</v>
      </c>
      <c r="B48" s="9"/>
      <c r="C48" s="9"/>
      <c r="D48" s="301" t="n">
        <v>-68282</v>
      </c>
    </row>
    <row r="49" customFormat="false" ht="12.75" hidden="false" customHeight="false" outlineLevel="0" collapsed="false">
      <c r="A49" s="124" t="n">
        <f aca="false">+A41</f>
        <v>37132</v>
      </c>
      <c r="B49" s="9"/>
      <c r="C49" s="9"/>
      <c r="D49" s="37" t="n">
        <f aca="false">+D37</f>
        <v>-10527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-78809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5" activeCellId="3" sqref="A1 A42 A1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10" t="s">
        <v>205</v>
      </c>
      <c r="C4" s="282"/>
      <c r="D4" s="136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 t="n">
        <v>-4125</v>
      </c>
      <c r="C7" s="108"/>
      <c r="D7" s="120" t="n">
        <f aca="false">+C7-B7</f>
        <v>4125</v>
      </c>
    </row>
    <row r="8" customFormat="false" ht="12.75" hidden="false" customHeight="false" outlineLevel="0" collapsed="false">
      <c r="A8" s="107" t="n">
        <v>3</v>
      </c>
      <c r="B8" s="108"/>
      <c r="C8" s="108"/>
      <c r="D8" s="120" t="n">
        <f aca="false">+C8-B8</f>
        <v>0</v>
      </c>
    </row>
    <row r="9" customFormat="false" ht="12.75" hidden="false" customHeight="false" outlineLevel="0" collapsed="false">
      <c r="A9" s="107" t="n">
        <v>4</v>
      </c>
      <c r="B9" s="108" t="n">
        <v>-24674</v>
      </c>
      <c r="C9" s="108"/>
      <c r="D9" s="120" t="n">
        <f aca="false">+C9-B9</f>
        <v>24674</v>
      </c>
    </row>
    <row r="10" customFormat="false" ht="12.75" hidden="false" customHeight="false" outlineLevel="0" collapsed="false">
      <c r="A10" s="107" t="n">
        <v>5</v>
      </c>
      <c r="B10" s="108" t="n">
        <v>-62427</v>
      </c>
      <c r="C10" s="108" t="n">
        <v>-29082</v>
      </c>
      <c r="D10" s="120" t="n">
        <f aca="false">+C10-B10</f>
        <v>33345</v>
      </c>
    </row>
    <row r="11" customFormat="false" ht="12.75" hidden="false" customHeight="false" outlineLevel="0" collapsed="false">
      <c r="A11" s="107" t="n">
        <v>6</v>
      </c>
      <c r="B11" s="108" t="n">
        <v>-88065</v>
      </c>
      <c r="C11" s="108" t="n">
        <v>-70000</v>
      </c>
      <c r="D11" s="120" t="n">
        <f aca="false">+C11-B11</f>
        <v>18065</v>
      </c>
    </row>
    <row r="12" customFormat="false" ht="12.75" hidden="false" customHeight="false" outlineLevel="0" collapsed="false">
      <c r="A12" s="107" t="n">
        <v>7</v>
      </c>
      <c r="B12" s="108" t="n">
        <v>-97070</v>
      </c>
      <c r="C12" s="108" t="n">
        <v>-108743</v>
      </c>
      <c r="D12" s="120" t="n">
        <f aca="false">+C12-B12</f>
        <v>-11673</v>
      </c>
    </row>
    <row r="13" customFormat="false" ht="12.75" hidden="false" customHeight="false" outlineLevel="0" collapsed="false">
      <c r="A13" s="107" t="n">
        <v>8</v>
      </c>
      <c r="B13" s="108" t="n">
        <v>-94202</v>
      </c>
      <c r="C13" s="108" t="n">
        <v>-117060</v>
      </c>
      <c r="D13" s="120" t="n">
        <f aca="false">+C13-B13</f>
        <v>-22858</v>
      </c>
    </row>
    <row r="14" customFormat="false" ht="12.75" hidden="false" customHeight="false" outlineLevel="0" collapsed="false">
      <c r="A14" s="107" t="n">
        <v>9</v>
      </c>
      <c r="B14" s="108" t="n">
        <v>-22431</v>
      </c>
      <c r="C14" s="108" t="n">
        <v>-43500</v>
      </c>
      <c r="D14" s="120" t="n">
        <f aca="false">+C14-B14</f>
        <v>-21069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 t="n">
        <v>-407</v>
      </c>
      <c r="C16" s="108"/>
      <c r="D16" s="120" t="n">
        <f aca="false">+C16-B16</f>
        <v>407</v>
      </c>
    </row>
    <row r="17" customFormat="false" ht="12.75" hidden="false" customHeight="false" outlineLevel="0" collapsed="false">
      <c r="A17" s="107" t="n">
        <v>12</v>
      </c>
      <c r="B17" s="108" t="n">
        <v>-13135</v>
      </c>
      <c r="C17" s="108" t="n">
        <v>-20000</v>
      </c>
      <c r="D17" s="120" t="n">
        <f aca="false">+C17-B17</f>
        <v>-6865</v>
      </c>
    </row>
    <row r="18" customFormat="false" ht="12.75" hidden="false" customHeight="false" outlineLevel="0" collapsed="false">
      <c r="A18" s="107" t="n">
        <v>13</v>
      </c>
      <c r="B18" s="108" t="n">
        <v>-60483</v>
      </c>
      <c r="C18" s="108" t="n">
        <v>-29781</v>
      </c>
      <c r="D18" s="120" t="n">
        <f aca="false">+C18-B18</f>
        <v>30702</v>
      </c>
    </row>
    <row r="19" customFormat="false" ht="12.75" hidden="false" customHeight="false" outlineLevel="0" collapsed="false">
      <c r="A19" s="107" t="n">
        <v>14</v>
      </c>
      <c r="B19" s="108" t="n">
        <v>-57710</v>
      </c>
      <c r="C19" s="108" t="n">
        <v>-79525</v>
      </c>
      <c r="D19" s="120" t="n">
        <f aca="false">+C19-B19</f>
        <v>-21815</v>
      </c>
    </row>
    <row r="20" customFormat="false" ht="12.75" hidden="false" customHeight="false" outlineLevel="0" collapsed="false">
      <c r="A20" s="107" t="n">
        <v>15</v>
      </c>
      <c r="B20" s="108" t="n">
        <v>-92681</v>
      </c>
      <c r="C20" s="108" t="n">
        <v>-85129</v>
      </c>
      <c r="D20" s="120" t="n">
        <f aca="false">+C20-B20</f>
        <v>7552</v>
      </c>
    </row>
    <row r="21" customFormat="false" ht="12.75" hidden="false" customHeight="false" outlineLevel="0" collapsed="false">
      <c r="A21" s="107" t="n">
        <v>16</v>
      </c>
      <c r="B21" s="108" t="n">
        <v>-99516</v>
      </c>
      <c r="C21" s="108" t="n">
        <v>-74859</v>
      </c>
      <c r="D21" s="120" t="n">
        <f aca="false">+C21-B21</f>
        <v>24657</v>
      </c>
    </row>
    <row r="22" customFormat="false" ht="12.75" hidden="false" customHeight="false" outlineLevel="0" collapsed="false">
      <c r="A22" s="107" t="n">
        <v>17</v>
      </c>
      <c r="B22" s="108" t="n">
        <v>-32937</v>
      </c>
      <c r="C22" s="108" t="n">
        <v>-30000</v>
      </c>
      <c r="D22" s="120" t="n">
        <f aca="false">+C22-B22</f>
        <v>2937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 t="n">
        <v>-5244</v>
      </c>
      <c r="D25" s="120" t="n">
        <f aca="false">+C25-B25</f>
        <v>-5244</v>
      </c>
    </row>
    <row r="26" customFormat="false" ht="12.75" hidden="false" customHeight="false" outlineLevel="0" collapsed="false">
      <c r="A26" s="107" t="n">
        <v>21</v>
      </c>
      <c r="B26" s="108" t="n">
        <v>-188</v>
      </c>
      <c r="C26" s="108" t="n">
        <v>-4252</v>
      </c>
      <c r="D26" s="120" t="n">
        <f aca="false">+C26-B26</f>
        <v>-4064</v>
      </c>
    </row>
    <row r="27" customFormat="false" ht="12.75" hidden="false" customHeight="false" outlineLevel="0" collapsed="false">
      <c r="A27" s="107" t="n">
        <v>22</v>
      </c>
      <c r="B27" s="108" t="n">
        <v>-7</v>
      </c>
      <c r="C27" s="108"/>
      <c r="D27" s="120" t="n">
        <f aca="false">+C27-B27</f>
        <v>7</v>
      </c>
    </row>
    <row r="28" customFormat="false" ht="12.75" hidden="false" customHeight="false" outlineLevel="0" collapsed="false">
      <c r="A28" s="107" t="n">
        <v>23</v>
      </c>
      <c r="B28" s="108" t="n">
        <v>-12322</v>
      </c>
      <c r="C28" s="108" t="n">
        <v>-22851</v>
      </c>
      <c r="D28" s="120" t="n">
        <f aca="false">+C28-B28</f>
        <v>-10529</v>
      </c>
    </row>
    <row r="29" customFormat="false" ht="12.75" hidden="false" customHeight="false" outlineLevel="0" collapsed="false">
      <c r="A29" s="107" t="n">
        <v>24</v>
      </c>
      <c r="B29" s="108" t="n">
        <v>-40282</v>
      </c>
      <c r="C29" s="108" t="n">
        <v>-37582</v>
      </c>
      <c r="D29" s="120" t="n">
        <f aca="false">+C29-B29</f>
        <v>2700</v>
      </c>
    </row>
    <row r="30" customFormat="false" ht="12.75" hidden="false" customHeight="false" outlineLevel="0" collapsed="false">
      <c r="A30" s="107" t="n">
        <v>25</v>
      </c>
      <c r="B30" s="108" t="n">
        <v>-46817</v>
      </c>
      <c r="C30" s="108" t="n">
        <v>-42731</v>
      </c>
      <c r="D30" s="120" t="n">
        <f aca="false">+C30-B30</f>
        <v>4086</v>
      </c>
    </row>
    <row r="31" customFormat="false" ht="12.75" hidden="false" customHeight="false" outlineLevel="0" collapsed="false">
      <c r="A31" s="107" t="n">
        <v>26</v>
      </c>
      <c r="B31" s="108" t="n">
        <v>-46752</v>
      </c>
      <c r="C31" s="108" t="n">
        <v>-47124</v>
      </c>
      <c r="D31" s="120" t="n">
        <f aca="false">+C31-B31</f>
        <v>-372</v>
      </c>
    </row>
    <row r="32" customFormat="false" ht="12.75" hidden="false" customHeight="false" outlineLevel="0" collapsed="false">
      <c r="A32" s="107" t="n">
        <v>27</v>
      </c>
      <c r="B32" s="108" t="n">
        <v>-59680</v>
      </c>
      <c r="C32" s="108" t="n">
        <v>-59883</v>
      </c>
      <c r="D32" s="120" t="n">
        <f aca="false">+C32-B32</f>
        <v>-203</v>
      </c>
    </row>
    <row r="33" customFormat="false" ht="12.75" hidden="false" customHeight="false" outlineLevel="0" collapsed="false">
      <c r="A33" s="107" t="n">
        <v>28</v>
      </c>
      <c r="B33" s="108" t="n">
        <v>-42119</v>
      </c>
      <c r="C33" s="108" t="n">
        <v>-45321</v>
      </c>
      <c r="D33" s="120" t="n">
        <f aca="false">+C33-B33</f>
        <v>-3202</v>
      </c>
    </row>
    <row r="34" customFormat="false" ht="12.75" hidden="false" customHeight="false" outlineLevel="0" collapsed="false">
      <c r="A34" s="107" t="n">
        <v>29</v>
      </c>
      <c r="B34" s="108" t="n">
        <v>-37940</v>
      </c>
      <c r="C34" s="108" t="n">
        <v>-32888</v>
      </c>
      <c r="D34" s="120" t="n">
        <f aca="false">+C34-B34</f>
        <v>5052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-1035970</v>
      </c>
      <c r="C37" s="108" t="n">
        <f aca="false">SUM(C6:C36)</f>
        <v>-985555</v>
      </c>
      <c r="D37" s="120" t="n">
        <f aca="false">SUM(D6:D36)</f>
        <v>50415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2.77</v>
      </c>
    </row>
    <row r="39" customFormat="false" ht="12.75" hidden="false" customHeight="false" outlineLevel="0" collapsed="false">
      <c r="D39" s="132" t="n">
        <f aca="false">+D38*D37</f>
        <v>139649.55</v>
      </c>
    </row>
    <row r="40" customFormat="false" ht="12.75" hidden="false" customHeight="false" outlineLevel="0" collapsed="false">
      <c r="A40" s="152" t="n">
        <v>37103</v>
      </c>
      <c r="C40" s="79"/>
      <c r="D40" s="183" t="n">
        <v>-351170.32</v>
      </c>
    </row>
    <row r="41" customFormat="false" ht="12.75" hidden="false" customHeight="false" outlineLevel="0" collapsed="false">
      <c r="A41" s="152" t="n">
        <v>37132</v>
      </c>
      <c r="C41" s="151"/>
      <c r="D41" s="132" t="n">
        <f aca="false">+D40+D39</f>
        <v>-211520.77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37103</v>
      </c>
      <c r="B46" s="9"/>
      <c r="C46" s="9"/>
      <c r="D46" s="301" t="n">
        <v>-150287</v>
      </c>
    </row>
    <row r="47" customFormat="false" ht="12.75" hidden="false" customHeight="false" outlineLevel="0" collapsed="false">
      <c r="A47" s="124" t="n">
        <f aca="false">+A41</f>
        <v>37132</v>
      </c>
      <c r="B47" s="9"/>
      <c r="C47" s="9"/>
      <c r="D47" s="37" t="n">
        <f aca="false">+D37</f>
        <v>50415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-99872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56659</v>
      </c>
      <c r="B5" s="411" t="n">
        <v>-30385</v>
      </c>
      <c r="C5" s="280" t="n">
        <v>-3393</v>
      </c>
      <c r="D5" s="280" t="n">
        <f aca="false">+C5-B5</f>
        <v>26992</v>
      </c>
      <c r="E5" s="27"/>
      <c r="F5" s="285"/>
    </row>
    <row r="6" customFormat="false" ht="12.75" hidden="false" customHeight="false" outlineLevel="0" collapsed="false">
      <c r="A6" s="282" t="n">
        <v>500046</v>
      </c>
      <c r="B6" s="280" t="n">
        <v>-709</v>
      </c>
      <c r="C6" s="280"/>
      <c r="D6" s="280" t="n">
        <f aca="false">+C6-B6</f>
        <v>709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4"/>
      <c r="C7" s="280"/>
      <c r="D7" s="280" t="n">
        <f aca="false">+C7-B7</f>
        <v>0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4" t="n">
        <v>-1944</v>
      </c>
      <c r="C8" s="280"/>
      <c r="D8" s="280" t="n">
        <f aca="false">+C8-B8</f>
        <v>1944</v>
      </c>
      <c r="E8" s="27"/>
      <c r="F8" s="285"/>
    </row>
    <row r="9" customFormat="false" ht="12.75" hidden="false" customHeight="false" outlineLevel="0" collapsed="false">
      <c r="A9" s="282" t="n">
        <v>500528</v>
      </c>
      <c r="B9" s="314"/>
      <c r="C9" s="280"/>
      <c r="D9" s="280" t="n">
        <f aca="false">+C9-B9</f>
        <v>0</v>
      </c>
      <c r="E9" s="27"/>
      <c r="F9" s="285"/>
    </row>
    <row r="10" customFormat="false" ht="12.75" hidden="false" customHeight="false" outlineLevel="0" collapsed="false">
      <c r="A10" s="282" t="n">
        <v>500529</v>
      </c>
      <c r="B10" s="280"/>
      <c r="C10" s="287"/>
      <c r="D10" s="280" t="n">
        <f aca="false">+C10-B10</f>
        <v>0</v>
      </c>
      <c r="E10" s="27"/>
      <c r="F10" s="285"/>
    </row>
    <row r="11" customFormat="false" ht="12.75" hidden="false" customHeight="false" outlineLevel="0" collapsed="false">
      <c r="A11" s="282" t="n">
        <v>500619</v>
      </c>
      <c r="B11" s="287"/>
      <c r="C11" s="280"/>
      <c r="D11" s="291" t="n">
        <f aca="false">+C11-B11</f>
        <v>0</v>
      </c>
      <c r="E11" s="27"/>
      <c r="F11" s="285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29645</v>
      </c>
      <c r="E12" s="27"/>
      <c r="F12" s="285"/>
    </row>
    <row r="13" customFormat="false" ht="12.75" hidden="false" customHeight="false" outlineLevel="0" collapsed="false">
      <c r="A13" s="282" t="s">
        <v>167</v>
      </c>
      <c r="B13" s="280"/>
      <c r="C13" s="280"/>
      <c r="D13" s="292" t="n">
        <f aca="false">+summary!H4</f>
        <v>2.77</v>
      </c>
      <c r="E13" s="293"/>
      <c r="F13" s="285"/>
    </row>
    <row r="14" customFormat="false" ht="12.75" hidden="false" customHeight="false" outlineLevel="0" collapsed="false">
      <c r="A14" s="282"/>
      <c r="B14" s="280"/>
      <c r="C14" s="280"/>
      <c r="D14" s="294" t="n">
        <f aca="false">+D13*D12</f>
        <v>82116.65</v>
      </c>
      <c r="E14" s="111"/>
      <c r="F14" s="295"/>
    </row>
    <row r="15" customFormat="false" ht="12.75" hidden="false" customHeight="false" outlineLevel="0" collapsed="false">
      <c r="A15" s="282"/>
      <c r="B15" s="280"/>
      <c r="C15" s="280"/>
      <c r="D15" s="294"/>
      <c r="E15" s="111"/>
      <c r="F15" s="295"/>
    </row>
    <row r="16" customFormat="false" ht="12.75" hidden="false" customHeight="false" outlineLevel="0" collapsed="false">
      <c r="A16" s="296" t="n">
        <v>37103</v>
      </c>
      <c r="B16" s="280"/>
      <c r="C16" s="280"/>
      <c r="D16" s="297" t="n">
        <v>-856340.66</v>
      </c>
      <c r="E16" s="111"/>
      <c r="F16" s="298"/>
    </row>
    <row r="17" customFormat="false" ht="12.75" hidden="false" customHeight="false" outlineLevel="0" collapsed="false">
      <c r="A17" s="282"/>
      <c r="B17" s="280"/>
      <c r="C17" s="280"/>
      <c r="D17" s="294"/>
      <c r="E17" s="111"/>
      <c r="F17" s="298"/>
    </row>
    <row r="18" customFormat="false" ht="13.5" hidden="false" customHeight="false" outlineLevel="0" collapsed="false">
      <c r="A18" s="296" t="n">
        <v>37132</v>
      </c>
      <c r="B18" s="280"/>
      <c r="C18" s="280"/>
      <c r="D18" s="299" t="n">
        <f aca="false">+D16+D14</f>
        <v>-774224.01</v>
      </c>
      <c r="E18" s="111"/>
      <c r="F18" s="298"/>
    </row>
    <row r="19" customFormat="false" ht="13.5" hidden="false" customHeight="false" outlineLevel="0" collapsed="false">
      <c r="E19" s="300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37103</v>
      </c>
      <c r="B22" s="9"/>
      <c r="C22" s="9"/>
      <c r="D22" s="301" t="n">
        <v>-187753</v>
      </c>
    </row>
    <row r="23" customFormat="false" ht="12.75" hidden="false" customHeight="false" outlineLevel="0" collapsed="false">
      <c r="A23" s="124" t="n">
        <f aca="false">+A18</f>
        <v>37132</v>
      </c>
      <c r="B23" s="9"/>
      <c r="C23" s="9"/>
      <c r="D23" s="37" t="n">
        <f aca="false">+D12</f>
        <v>29645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-158108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2"/>
      <c r="E42" s="302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5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5"/>
      <c r="G44" s="9"/>
    </row>
    <row r="45" customFormat="false" ht="12.75" hidden="false" customHeight="false" outlineLevel="0" collapsed="false">
      <c r="E45" s="3"/>
      <c r="F45" s="298"/>
    </row>
    <row r="46" customFormat="false" ht="12.75" hidden="false" customHeight="false" outlineLevel="0" collapsed="false">
      <c r="A46" s="9"/>
      <c r="D46" s="303"/>
      <c r="E46" s="303"/>
      <c r="F46" s="298"/>
    </row>
    <row r="47" customFormat="false" ht="12.75" hidden="false" customHeight="false" outlineLevel="0" collapsed="false">
      <c r="A47" s="9"/>
      <c r="E47" s="3"/>
      <c r="F47" s="298"/>
    </row>
    <row r="48" customFormat="false" ht="12.75" hidden="false" customHeight="false" outlineLevel="0" collapsed="false">
      <c r="A48" s="9"/>
      <c r="E48" s="3"/>
      <c r="F48" s="298"/>
    </row>
    <row r="49" customFormat="false" ht="13.5" hidden="false" customHeight="false" outlineLevel="0" collapsed="false">
      <c r="A49" s="9"/>
      <c r="D49" s="304"/>
      <c r="E49" s="304"/>
      <c r="F49" s="29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2"/>
      <c r="E92" s="302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5"/>
    </row>
    <row r="94" customFormat="false" ht="12.75" hidden="false" customHeight="false" outlineLevel="0" collapsed="false">
      <c r="B94" s="27"/>
      <c r="C94" s="27"/>
      <c r="D94" s="27"/>
      <c r="E94" s="27"/>
      <c r="F94" s="295"/>
    </row>
    <row r="95" customFormat="false" ht="12.75" hidden="false" customHeight="false" outlineLevel="0" collapsed="false">
      <c r="A95" s="9"/>
      <c r="D95" s="303"/>
      <c r="E95" s="303"/>
      <c r="F95" s="298"/>
    </row>
    <row r="96" customFormat="false" ht="12.75" hidden="false" customHeight="false" outlineLevel="0" collapsed="false">
      <c r="A96" s="9"/>
      <c r="E96" s="3"/>
      <c r="F96" s="298"/>
    </row>
    <row r="97" customFormat="false" ht="13.5" hidden="false" customHeight="false" outlineLevel="0" collapsed="false">
      <c r="A97" s="9"/>
      <c r="D97" s="304"/>
      <c r="E97" s="304"/>
      <c r="F97" s="29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2"/>
      <c r="E118" s="302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5"/>
    </row>
    <row r="120" customFormat="false" ht="12.75" hidden="false" customHeight="false" outlineLevel="0" collapsed="false">
      <c r="B120" s="27"/>
      <c r="C120" s="27"/>
      <c r="D120" s="111"/>
      <c r="E120" s="111"/>
      <c r="F120" s="295"/>
    </row>
    <row r="121" customFormat="false" ht="12.75" hidden="false" customHeight="false" outlineLevel="0" collapsed="false">
      <c r="A121" s="9"/>
      <c r="D121" s="305"/>
      <c r="E121" s="305"/>
      <c r="F121" s="298"/>
    </row>
    <row r="122" customFormat="false" ht="12.75" hidden="false" customHeight="false" outlineLevel="0" collapsed="false">
      <c r="A122" s="9"/>
      <c r="D122" s="111"/>
      <c r="E122" s="111"/>
      <c r="F122" s="298"/>
    </row>
    <row r="123" customFormat="false" ht="13.5" hidden="false" customHeight="false" outlineLevel="0" collapsed="false">
      <c r="A123" s="9"/>
      <c r="D123" s="306"/>
      <c r="E123" s="306"/>
      <c r="F123" s="29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2"/>
      <c r="E143" s="302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5"/>
    </row>
    <row r="145" customFormat="false" ht="12.75" hidden="false" customHeight="false" outlineLevel="0" collapsed="false">
      <c r="B145" s="27"/>
      <c r="C145" s="27"/>
      <c r="D145" s="111"/>
      <c r="E145" s="111"/>
      <c r="F145" s="295"/>
    </row>
    <row r="146" customFormat="false" ht="12.75" hidden="false" customHeight="false" outlineLevel="0" collapsed="false">
      <c r="A146" s="9"/>
      <c r="D146" s="305"/>
      <c r="E146" s="305"/>
      <c r="F146" s="298"/>
    </row>
    <row r="147" customFormat="false" ht="12.75" hidden="false" customHeight="false" outlineLevel="0" collapsed="false">
      <c r="A147" s="9"/>
      <c r="D147" s="111"/>
      <c r="E147" s="111"/>
      <c r="F147" s="298"/>
    </row>
    <row r="148" customFormat="false" ht="13.5" hidden="false" customHeight="false" outlineLevel="0" collapsed="false">
      <c r="A148" s="9"/>
      <c r="D148" s="306"/>
      <c r="E148" s="306"/>
      <c r="F148" s="29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07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07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307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2"/>
      <c r="E168" s="302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5"/>
    </row>
    <row r="170" customFormat="false" ht="12.75" hidden="false" customHeight="false" outlineLevel="0" collapsed="false">
      <c r="B170" s="27"/>
      <c r="C170" s="27"/>
      <c r="D170" s="111"/>
      <c r="E170" s="111"/>
      <c r="F170" s="295"/>
    </row>
    <row r="171" customFormat="false" ht="12.75" hidden="false" customHeight="false" outlineLevel="0" collapsed="false">
      <c r="A171" s="9"/>
      <c r="D171" s="305"/>
      <c r="E171" s="305"/>
      <c r="F171" s="298"/>
    </row>
    <row r="172" customFormat="false" ht="12.75" hidden="false" customHeight="false" outlineLevel="0" collapsed="false">
      <c r="A172" s="9"/>
      <c r="D172" s="111"/>
      <c r="E172" s="111"/>
      <c r="F172" s="298"/>
    </row>
    <row r="173" customFormat="false" ht="13.5" hidden="false" customHeight="false" outlineLevel="0" collapsed="false">
      <c r="A173" s="9"/>
      <c r="D173" s="306"/>
      <c r="E173" s="306"/>
      <c r="F173" s="29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07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07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08"/>
      <c r="B185" s="309"/>
      <c r="C185" s="309"/>
      <c r="D185" s="309"/>
      <c r="E185" s="309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307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2"/>
      <c r="E192" s="302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5"/>
    </row>
    <row r="194" customFormat="false" ht="12.75" hidden="false" customHeight="false" outlineLevel="0" collapsed="false">
      <c r="B194" s="27"/>
      <c r="C194" s="27"/>
      <c r="D194" s="111"/>
      <c r="E194" s="111"/>
      <c r="F194" s="295"/>
    </row>
    <row r="195" customFormat="false" ht="12.75" hidden="false" customHeight="false" outlineLevel="0" collapsed="false">
      <c r="A195" s="9"/>
      <c r="D195" s="305"/>
      <c r="E195" s="305"/>
      <c r="F195" s="298"/>
    </row>
    <row r="196" customFormat="false" ht="12.75" hidden="false" customHeight="false" outlineLevel="0" collapsed="false">
      <c r="A196" s="9"/>
      <c r="D196" s="111"/>
      <c r="E196" s="111"/>
      <c r="F196" s="298"/>
    </row>
    <row r="197" customFormat="false" ht="13.5" hidden="false" customHeight="false" outlineLevel="0" collapsed="false">
      <c r="A197" s="9"/>
      <c r="D197" s="310"/>
      <c r="E197" s="306"/>
      <c r="F197" s="29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7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07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08"/>
      <c r="B211" s="309"/>
      <c r="C211" s="309"/>
      <c r="D211" s="309"/>
      <c r="E211" s="309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307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2"/>
      <c r="E218" s="302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5"/>
    </row>
    <row r="220" customFormat="false" ht="12.75" hidden="false" customHeight="false" outlineLevel="0" collapsed="false">
      <c r="B220" s="27"/>
      <c r="C220" s="27"/>
      <c r="D220" s="111"/>
      <c r="E220" s="111"/>
      <c r="F220" s="295"/>
    </row>
    <row r="221" customFormat="false" ht="12.75" hidden="false" customHeight="false" outlineLevel="0" collapsed="false">
      <c r="A221" s="9"/>
      <c r="D221" s="305"/>
      <c r="E221" s="305"/>
      <c r="F221" s="298"/>
    </row>
    <row r="222" customFormat="false" ht="12.75" hidden="false" customHeight="false" outlineLevel="0" collapsed="false">
      <c r="A222" s="9"/>
      <c r="D222" s="111"/>
      <c r="E222" s="111"/>
      <c r="F222" s="298"/>
    </row>
    <row r="223" customFormat="false" ht="13.5" hidden="false" customHeight="false" outlineLevel="0" collapsed="false">
      <c r="A223" s="9"/>
      <c r="D223" s="310"/>
      <c r="E223" s="306"/>
      <c r="F223" s="29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7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07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1"/>
      <c r="B235" s="289"/>
      <c r="C235" s="289"/>
      <c r="D235" s="289"/>
      <c r="E235" s="289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307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2"/>
      <c r="E242" s="302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5"/>
    </row>
    <row r="244" customFormat="false" ht="12.75" hidden="false" customHeight="false" outlineLevel="0" collapsed="false">
      <c r="B244" s="27"/>
      <c r="C244" s="27"/>
      <c r="D244" s="111"/>
      <c r="E244" s="111"/>
      <c r="F244" s="295"/>
    </row>
    <row r="245" customFormat="false" ht="12.75" hidden="false" customHeight="false" outlineLevel="0" collapsed="false">
      <c r="A245" s="9"/>
      <c r="D245" s="305"/>
      <c r="E245" s="305"/>
      <c r="F245" s="298"/>
    </row>
    <row r="246" customFormat="false" ht="12.75" hidden="false" customHeight="false" outlineLevel="0" collapsed="false">
      <c r="A246" s="9"/>
      <c r="D246" s="111"/>
      <c r="E246" s="111"/>
      <c r="F246" s="298"/>
    </row>
    <row r="247" customFormat="false" ht="13.5" hidden="false" customHeight="false" outlineLevel="0" collapsed="false">
      <c r="A247" s="9"/>
      <c r="D247" s="312"/>
      <c r="E247" s="306"/>
      <c r="F247" s="29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3"/>
      <c r="C252" s="280"/>
      <c r="D252" s="280"/>
      <c r="E252" s="27"/>
      <c r="F252" s="31"/>
    </row>
    <row r="253" customFormat="false" ht="12.75" hidden="false" customHeight="false" outlineLevel="0" collapsed="false">
      <c r="A253" s="282"/>
      <c r="B253" s="280"/>
      <c r="C253" s="280"/>
      <c r="D253" s="280"/>
      <c r="E253" s="27"/>
      <c r="F253" s="31"/>
    </row>
    <row r="254" customFormat="false" ht="12.75" hidden="false" customHeight="false" outlineLevel="0" collapsed="false">
      <c r="A254" s="282"/>
      <c r="B254" s="313"/>
      <c r="C254" s="280"/>
      <c r="D254" s="280"/>
      <c r="E254" s="27"/>
      <c r="F254" s="31"/>
    </row>
    <row r="255" customFormat="false" ht="12.75" hidden="false" customHeight="false" outlineLevel="0" collapsed="false">
      <c r="A255" s="282"/>
      <c r="B255" s="280"/>
      <c r="C255" s="280"/>
      <c r="D255" s="280"/>
      <c r="E255" s="27"/>
      <c r="F255" s="31"/>
    </row>
    <row r="256" customFormat="false" ht="12.75" hidden="false" customHeight="false" outlineLevel="0" collapsed="false">
      <c r="A256" s="282"/>
      <c r="B256" s="280"/>
      <c r="C256" s="280"/>
      <c r="D256" s="280"/>
      <c r="E256" s="27"/>
      <c r="F256" s="31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8"/>
      <c r="B259" s="314"/>
      <c r="C259" s="314"/>
      <c r="D259" s="314"/>
      <c r="E259" s="289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313"/>
      <c r="C264" s="280"/>
      <c r="D264" s="291"/>
      <c r="E264" s="47"/>
      <c r="F264" s="38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92"/>
      <c r="E266" s="302"/>
      <c r="F266" s="31"/>
    </row>
    <row r="267" customFormat="false" ht="12.75" hidden="false" customHeight="false" outlineLevel="0" collapsed="false">
      <c r="A267" s="282"/>
      <c r="B267" s="280"/>
      <c r="C267" s="280"/>
      <c r="D267" s="294"/>
      <c r="E267" s="111"/>
      <c r="F267" s="295"/>
    </row>
    <row r="268" customFormat="false" ht="12.75" hidden="false" customHeight="false" outlineLevel="0" collapsed="false">
      <c r="A268" s="282"/>
      <c r="B268" s="280"/>
      <c r="C268" s="280"/>
      <c r="D268" s="294"/>
      <c r="E268" s="111"/>
      <c r="F268" s="295"/>
    </row>
    <row r="269" customFormat="false" ht="12.75" hidden="false" customHeight="false" outlineLevel="0" collapsed="false">
      <c r="A269" s="282"/>
      <c r="B269" s="280"/>
      <c r="C269" s="280"/>
      <c r="D269" s="315"/>
      <c r="E269" s="305"/>
      <c r="F269" s="298"/>
    </row>
    <row r="270" customFormat="false" ht="12.75" hidden="false" customHeight="false" outlineLevel="0" collapsed="false">
      <c r="A270" s="282"/>
      <c r="B270" s="280"/>
      <c r="C270" s="280"/>
      <c r="D270" s="294"/>
      <c r="E270" s="111"/>
      <c r="F270" s="298"/>
    </row>
    <row r="271" customFormat="false" ht="13.5" hidden="false" customHeight="false" outlineLevel="0" collapsed="false">
      <c r="A271" s="282"/>
      <c r="B271" s="280"/>
      <c r="C271" s="280"/>
      <c r="D271" s="316"/>
      <c r="E271" s="306"/>
      <c r="F271" s="29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3"/>
      <c r="C277" s="280"/>
      <c r="D277" s="280"/>
      <c r="E277" s="27"/>
      <c r="F277" s="31"/>
    </row>
    <row r="278" customFormat="false" ht="12.75" hidden="false" customHeight="false" outlineLevel="0" collapsed="false">
      <c r="A278" s="282"/>
      <c r="B278" s="280"/>
      <c r="C278" s="280"/>
      <c r="D278" s="280"/>
      <c r="E278" s="27"/>
      <c r="F278" s="31"/>
    </row>
    <row r="279" customFormat="false" ht="12.75" hidden="false" customHeight="false" outlineLevel="0" collapsed="false">
      <c r="A279" s="282"/>
      <c r="B279" s="313"/>
      <c r="C279" s="280"/>
      <c r="D279" s="280"/>
      <c r="E279" s="27"/>
      <c r="F279" s="31"/>
    </row>
    <row r="280" customFormat="false" ht="12.75" hidden="false" customHeight="false" outlineLevel="0" collapsed="false">
      <c r="A280" s="282"/>
      <c r="B280" s="280"/>
      <c r="C280" s="280"/>
      <c r="D280" s="280"/>
      <c r="E280" s="27"/>
      <c r="F280" s="31"/>
    </row>
    <row r="281" customFormat="false" ht="12.75" hidden="false" customHeight="false" outlineLevel="0" collapsed="false">
      <c r="A281" s="282"/>
      <c r="B281" s="280"/>
      <c r="C281" s="280"/>
      <c r="D281" s="280"/>
      <c r="E281" s="27"/>
      <c r="F281" s="31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8"/>
      <c r="B284" s="314"/>
      <c r="C284" s="314"/>
      <c r="D284" s="314"/>
      <c r="E284" s="289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313"/>
      <c r="C289" s="280"/>
      <c r="D289" s="291"/>
      <c r="E289" s="47"/>
      <c r="F289" s="38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92"/>
      <c r="E291" s="302"/>
      <c r="F291" s="31"/>
    </row>
    <row r="292" customFormat="false" ht="12.75" hidden="false" customHeight="false" outlineLevel="0" collapsed="false">
      <c r="A292" s="282"/>
      <c r="B292" s="280"/>
      <c r="C292" s="280"/>
      <c r="D292" s="294"/>
      <c r="E292" s="111"/>
      <c r="F292" s="295"/>
    </row>
    <row r="293" customFormat="false" ht="12.75" hidden="false" customHeight="false" outlineLevel="0" collapsed="false">
      <c r="A293" s="282"/>
      <c r="B293" s="280"/>
      <c r="C293" s="280"/>
      <c r="D293" s="294"/>
      <c r="E293" s="111"/>
      <c r="F293" s="295"/>
    </row>
    <row r="294" customFormat="false" ht="12.75" hidden="false" customHeight="false" outlineLevel="0" collapsed="false">
      <c r="A294" s="296"/>
      <c r="B294" s="280"/>
      <c r="C294" s="280"/>
      <c r="D294" s="315"/>
      <c r="E294" s="305"/>
      <c r="F294" s="298"/>
    </row>
    <row r="295" customFormat="false" ht="12.75" hidden="false" customHeight="false" outlineLevel="0" collapsed="false">
      <c r="A295" s="282"/>
      <c r="B295" s="280"/>
      <c r="C295" s="280"/>
      <c r="D295" s="294"/>
      <c r="E295" s="111"/>
      <c r="F295" s="298"/>
    </row>
    <row r="296" customFormat="false" ht="13.5" hidden="false" customHeight="false" outlineLevel="0" collapsed="false">
      <c r="A296" s="282"/>
      <c r="B296" s="280"/>
      <c r="C296" s="280"/>
      <c r="D296" s="316"/>
      <c r="E296" s="306"/>
      <c r="F296" s="29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3"/>
      <c r="C304" s="280"/>
      <c r="D304" s="280"/>
      <c r="E304" s="27"/>
      <c r="F304" s="31"/>
    </row>
    <row r="305" customFormat="false" ht="12.75" hidden="false" customHeight="false" outlineLevel="0" collapsed="false">
      <c r="A305" s="282"/>
      <c r="B305" s="280"/>
      <c r="C305" s="280"/>
      <c r="D305" s="280"/>
      <c r="E305" s="27"/>
      <c r="F305" s="31"/>
    </row>
    <row r="306" customFormat="false" ht="12.75" hidden="false" customHeight="false" outlineLevel="0" collapsed="false">
      <c r="A306" s="282"/>
      <c r="B306" s="313"/>
      <c r="C306" s="280"/>
      <c r="D306" s="280"/>
      <c r="E306" s="27"/>
      <c r="F306" s="31"/>
    </row>
    <row r="307" customFormat="false" ht="12.75" hidden="false" customHeight="false" outlineLevel="0" collapsed="false">
      <c r="A307" s="282"/>
      <c r="B307" s="280"/>
      <c r="C307" s="280"/>
      <c r="D307" s="280"/>
      <c r="E307" s="27"/>
      <c r="F307" s="31"/>
    </row>
    <row r="308" customFormat="false" ht="12.75" hidden="false" customHeight="false" outlineLevel="0" collapsed="false">
      <c r="A308" s="282"/>
      <c r="B308" s="280"/>
      <c r="C308" s="280"/>
      <c r="D308" s="280"/>
      <c r="E308" s="27"/>
      <c r="F308" s="31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8"/>
      <c r="B311" s="314"/>
      <c r="C311" s="314"/>
      <c r="D311" s="314"/>
      <c r="E311" s="289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313"/>
      <c r="C316" s="280"/>
      <c r="D316" s="291"/>
      <c r="E316" s="47"/>
      <c r="F316" s="38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92"/>
      <c r="E318" s="302"/>
      <c r="F318" s="31"/>
    </row>
    <row r="319" customFormat="false" ht="12.75" hidden="false" customHeight="false" outlineLevel="0" collapsed="false">
      <c r="A319" s="282"/>
      <c r="B319" s="280"/>
      <c r="C319" s="280"/>
      <c r="D319" s="294"/>
      <c r="E319" s="111"/>
      <c r="F319" s="295"/>
    </row>
    <row r="320" customFormat="false" ht="12.75" hidden="false" customHeight="false" outlineLevel="0" collapsed="false">
      <c r="A320" s="282"/>
      <c r="B320" s="280"/>
      <c r="C320" s="280"/>
      <c r="D320" s="294"/>
      <c r="E320" s="111"/>
      <c r="F320" s="295"/>
    </row>
    <row r="321" customFormat="false" ht="12.75" hidden="false" customHeight="false" outlineLevel="0" collapsed="false">
      <c r="A321" s="296"/>
      <c r="B321" s="280"/>
      <c r="C321" s="280"/>
      <c r="D321" s="315"/>
      <c r="E321" s="305"/>
      <c r="F321" s="298"/>
    </row>
    <row r="322" customFormat="false" ht="12.75" hidden="false" customHeight="false" outlineLevel="0" collapsed="false">
      <c r="A322" s="282"/>
      <c r="B322" s="280"/>
      <c r="C322" s="280"/>
      <c r="D322" s="294"/>
      <c r="E322" s="111"/>
      <c r="F322" s="298"/>
    </row>
    <row r="323" customFormat="false" ht="13.5" hidden="false" customHeight="false" outlineLevel="0" collapsed="false">
      <c r="A323" s="282"/>
      <c r="B323" s="280"/>
      <c r="C323" s="280"/>
      <c r="D323" s="316"/>
      <c r="E323" s="306"/>
      <c r="F323" s="29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/>
      <c r="C6" s="108"/>
      <c r="D6" s="120" t="n">
        <f aca="false">+C6-B6</f>
        <v>0</v>
      </c>
    </row>
    <row r="7" customFormat="false" ht="12.75" hidden="false" customHeight="false" outlineLevel="0" collapsed="false">
      <c r="A7" s="107" t="n">
        <v>2</v>
      </c>
      <c r="B7" s="108"/>
      <c r="C7" s="108"/>
      <c r="D7" s="120" t="n">
        <f aca="false">+C7-B7</f>
        <v>0</v>
      </c>
    </row>
    <row r="8" customFormat="false" ht="12.75" hidden="false" customHeight="false" outlineLevel="0" collapsed="false">
      <c r="A8" s="107" t="n">
        <v>3</v>
      </c>
      <c r="B8" s="108"/>
      <c r="C8" s="108" t="n">
        <v>-2368</v>
      </c>
      <c r="D8" s="120" t="n">
        <f aca="false">+C8-B8</f>
        <v>-2368</v>
      </c>
    </row>
    <row r="9" customFormat="false" ht="12.75" hidden="false" customHeight="false" outlineLevel="0" collapsed="false">
      <c r="A9" s="107" t="n">
        <v>4</v>
      </c>
      <c r="B9" s="108"/>
      <c r="C9" s="108" t="n">
        <v>-2368</v>
      </c>
      <c r="D9" s="120" t="n">
        <f aca="false">+C9-B9</f>
        <v>-2368</v>
      </c>
    </row>
    <row r="10" customFormat="false" ht="12.75" hidden="false" customHeight="false" outlineLevel="0" collapsed="false">
      <c r="A10" s="107" t="n">
        <v>5</v>
      </c>
      <c r="B10" s="108"/>
      <c r="C10" s="108" t="n">
        <v>-2368</v>
      </c>
      <c r="D10" s="120" t="n">
        <f aca="false">+C10-B10</f>
        <v>-2368</v>
      </c>
    </row>
    <row r="11" customFormat="false" ht="12.75" hidden="false" customHeight="false" outlineLevel="0" collapsed="false">
      <c r="A11" s="107" t="n">
        <v>6</v>
      </c>
      <c r="B11" s="108"/>
      <c r="C11" s="108" t="n">
        <v>-2368</v>
      </c>
      <c r="D11" s="120" t="n">
        <f aca="false">+C11-B11</f>
        <v>-2368</v>
      </c>
    </row>
    <row r="12" customFormat="false" ht="12.75" hidden="false" customHeight="false" outlineLevel="0" collapsed="false">
      <c r="A12" s="107" t="n">
        <v>7</v>
      </c>
      <c r="B12" s="108"/>
      <c r="C12" s="108" t="n">
        <v>-2368</v>
      </c>
      <c r="D12" s="120" t="n">
        <f aca="false">+C12-B12</f>
        <v>-2368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 t="n">
        <v>-4</v>
      </c>
      <c r="C21" s="108"/>
      <c r="D21" s="120" t="n">
        <f aca="false">+C21-B21</f>
        <v>4</v>
      </c>
    </row>
    <row r="22" customFormat="false" ht="12.75" hidden="false" customHeight="false" outlineLevel="0" collapsed="false">
      <c r="A22" s="107" t="n">
        <v>17</v>
      </c>
      <c r="B22" s="108" t="n">
        <v>-1</v>
      </c>
      <c r="C22" s="108"/>
      <c r="D22" s="120" t="n">
        <f aca="false">+C22-B22</f>
        <v>1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 t="n">
        <v>-1</v>
      </c>
      <c r="C30" s="108"/>
      <c r="D30" s="120" t="n">
        <f aca="false">+C30-B30</f>
        <v>1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 t="n">
        <v>-15000</v>
      </c>
      <c r="D34" s="120" t="n">
        <f aca="false">+C34-B34</f>
        <v>-15000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-6</v>
      </c>
      <c r="C37" s="108" t="n">
        <f aca="false">SUM(C6:C36)</f>
        <v>-26840</v>
      </c>
      <c r="D37" s="120" t="n">
        <f aca="false">SUM(D6:D36)</f>
        <v>-26834</v>
      </c>
    </row>
    <row r="38" customFormat="false" ht="12.75" hidden="false" customHeight="false" outlineLevel="0" collapsed="false">
      <c r="A38" s="134"/>
      <c r="C38" s="30"/>
      <c r="D38" s="412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37103</v>
      </c>
      <c r="C40" s="79"/>
      <c r="D40" s="121" t="n">
        <v>76325</v>
      </c>
    </row>
    <row r="41" customFormat="false" ht="12.75" hidden="false" customHeight="false" outlineLevel="0" collapsed="false">
      <c r="A41" s="152" t="n">
        <v>37132</v>
      </c>
      <c r="C41" s="151"/>
      <c r="D41" s="120" t="n">
        <f aca="false">+D40+D37</f>
        <v>49491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37103</v>
      </c>
      <c r="B45" s="9"/>
      <c r="C45" s="9"/>
      <c r="D45" s="125" t="n">
        <v>341220.3</v>
      </c>
    </row>
    <row r="46" customFormat="false" ht="12.75" hidden="false" customHeight="false" outlineLevel="0" collapsed="false">
      <c r="A46" s="124" t="n">
        <f aca="false">+A41</f>
        <v>37132</v>
      </c>
      <c r="B46" s="9"/>
      <c r="C46" s="9"/>
      <c r="D46" s="126" t="n">
        <f aca="false">+D37*'by type'!J4</f>
        <v>-74330.18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266890.12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6" activeCellId="3" sqref="C37 A41 D41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5" t="s">
        <v>114</v>
      </c>
      <c r="B6" s="101" t="s">
        <v>115</v>
      </c>
      <c r="C6" s="101" t="s">
        <v>116</v>
      </c>
      <c r="D6" s="101" t="s">
        <v>134</v>
      </c>
    </row>
    <row r="7" customFormat="false" ht="12.75" hidden="false" customHeight="false" outlineLevel="0" collapsed="false">
      <c r="A7" s="107" t="n">
        <v>1</v>
      </c>
      <c r="B7" s="108" t="n">
        <v>129260</v>
      </c>
      <c r="C7" s="108" t="n">
        <v>129182</v>
      </c>
      <c r="D7" s="120" t="n">
        <f aca="false">+C7-B7</f>
        <v>-78</v>
      </c>
    </row>
    <row r="8" customFormat="false" ht="12.75" hidden="false" customHeight="false" outlineLevel="0" collapsed="false">
      <c r="A8" s="107" t="n">
        <v>2</v>
      </c>
      <c r="B8" s="108" t="n">
        <v>126748</v>
      </c>
      <c r="C8" s="108" t="n">
        <v>122113</v>
      </c>
      <c r="D8" s="120" t="n">
        <f aca="false">+C8-B8</f>
        <v>-4635</v>
      </c>
    </row>
    <row r="9" customFormat="false" ht="12.75" hidden="false" customHeight="false" outlineLevel="0" collapsed="false">
      <c r="A9" s="107" t="n">
        <v>3</v>
      </c>
      <c r="B9" s="108" t="n">
        <v>123158</v>
      </c>
      <c r="C9" s="108" t="n">
        <v>122442</v>
      </c>
      <c r="D9" s="120" t="n">
        <f aca="false">+C9-B9</f>
        <v>-716</v>
      </c>
    </row>
    <row r="10" customFormat="false" ht="12.75" hidden="false" customHeight="false" outlineLevel="0" collapsed="false">
      <c r="A10" s="107" t="n">
        <v>4</v>
      </c>
      <c r="B10" s="108" t="n">
        <v>107561</v>
      </c>
      <c r="C10" s="108" t="n">
        <v>106472</v>
      </c>
      <c r="D10" s="120" t="n">
        <f aca="false">+C10-B10</f>
        <v>-1089</v>
      </c>
    </row>
    <row r="11" customFormat="false" ht="12.75" hidden="false" customHeight="false" outlineLevel="0" collapsed="false">
      <c r="A11" s="107" t="n">
        <v>5</v>
      </c>
      <c r="B11" s="108" t="n">
        <v>111357</v>
      </c>
      <c r="C11" s="108" t="n">
        <v>111062</v>
      </c>
      <c r="D11" s="120" t="n">
        <f aca="false">+C11-B11</f>
        <v>-295</v>
      </c>
    </row>
    <row r="12" customFormat="false" ht="12.75" hidden="false" customHeight="false" outlineLevel="0" collapsed="false">
      <c r="A12" s="107" t="n">
        <v>6</v>
      </c>
      <c r="B12" s="108" t="n">
        <v>113863</v>
      </c>
      <c r="C12" s="108" t="n">
        <v>113152</v>
      </c>
      <c r="D12" s="120" t="n">
        <f aca="false">+C12-B12</f>
        <v>-711</v>
      </c>
    </row>
    <row r="13" customFormat="false" ht="12.75" hidden="false" customHeight="false" outlineLevel="0" collapsed="false">
      <c r="A13" s="107" t="n">
        <v>7</v>
      </c>
      <c r="B13" s="108" t="n">
        <v>89887</v>
      </c>
      <c r="C13" s="108" t="n">
        <v>128168</v>
      </c>
      <c r="D13" s="120" t="n">
        <f aca="false">+C13-B13</f>
        <v>38281</v>
      </c>
    </row>
    <row r="14" customFormat="false" ht="12.75" hidden="false" customHeight="false" outlineLevel="0" collapsed="false">
      <c r="A14" s="107" t="n">
        <v>8</v>
      </c>
      <c r="B14" s="108" t="n">
        <v>120044</v>
      </c>
      <c r="C14" s="108" t="n">
        <v>119268</v>
      </c>
      <c r="D14" s="120" t="n">
        <f aca="false">+C14-B14</f>
        <v>-776</v>
      </c>
    </row>
    <row r="15" customFormat="false" ht="12.75" hidden="false" customHeight="false" outlineLevel="0" collapsed="false">
      <c r="A15" s="107" t="n">
        <v>9</v>
      </c>
      <c r="B15" s="108" t="n">
        <v>117369</v>
      </c>
      <c r="C15" s="108" t="n">
        <v>115843</v>
      </c>
      <c r="D15" s="120" t="n">
        <f aca="false">+C15-B15</f>
        <v>-1526</v>
      </c>
    </row>
    <row r="16" customFormat="false" ht="12.75" hidden="false" customHeight="false" outlineLevel="0" collapsed="false">
      <c r="A16" s="107" t="n">
        <v>10</v>
      </c>
      <c r="B16" s="108" t="n">
        <v>103180</v>
      </c>
      <c r="C16" s="108" t="n">
        <v>98992</v>
      </c>
      <c r="D16" s="120" t="n">
        <f aca="false">+C16-B16</f>
        <v>-4188</v>
      </c>
    </row>
    <row r="17" customFormat="false" ht="12.75" hidden="false" customHeight="false" outlineLevel="0" collapsed="false">
      <c r="A17" s="107" t="n">
        <v>11</v>
      </c>
      <c r="B17" s="108" t="n">
        <v>108603</v>
      </c>
      <c r="C17" s="108" t="n">
        <v>107939</v>
      </c>
      <c r="D17" s="120" t="n">
        <f aca="false">+C17-B17</f>
        <v>-664</v>
      </c>
    </row>
    <row r="18" customFormat="false" ht="12.75" hidden="false" customHeight="false" outlineLevel="0" collapsed="false">
      <c r="A18" s="107" t="n">
        <v>12</v>
      </c>
      <c r="B18" s="108" t="n">
        <v>111233</v>
      </c>
      <c r="C18" s="108" t="n">
        <v>110704</v>
      </c>
      <c r="D18" s="120" t="n">
        <f aca="false">+C18-B18</f>
        <v>-529</v>
      </c>
    </row>
    <row r="19" customFormat="false" ht="12.75" hidden="false" customHeight="false" outlineLevel="0" collapsed="false">
      <c r="A19" s="107" t="n">
        <v>13</v>
      </c>
      <c r="B19" s="108" t="n">
        <v>119896</v>
      </c>
      <c r="C19" s="108" t="n">
        <v>119795</v>
      </c>
      <c r="D19" s="120" t="n">
        <f aca="false">+C19-B19</f>
        <v>-101</v>
      </c>
    </row>
    <row r="20" customFormat="false" ht="12.75" hidden="false" customHeight="false" outlineLevel="0" collapsed="false">
      <c r="A20" s="107" t="n">
        <v>14</v>
      </c>
      <c r="B20" s="108" t="n">
        <v>112667</v>
      </c>
      <c r="C20" s="108" t="n">
        <v>112310</v>
      </c>
      <c r="D20" s="120" t="n">
        <f aca="false">+C20-B20</f>
        <v>-357</v>
      </c>
    </row>
    <row r="21" customFormat="false" ht="12.75" hidden="false" customHeight="false" outlineLevel="0" collapsed="false">
      <c r="A21" s="107" t="n">
        <v>15</v>
      </c>
      <c r="B21" s="108" t="n">
        <v>108935</v>
      </c>
      <c r="C21" s="108" t="n">
        <v>108429</v>
      </c>
      <c r="D21" s="120" t="n">
        <f aca="false">+C21-B21</f>
        <v>-506</v>
      </c>
    </row>
    <row r="22" customFormat="false" ht="12.75" hidden="false" customHeight="false" outlineLevel="0" collapsed="false">
      <c r="A22" s="107" t="n">
        <v>16</v>
      </c>
      <c r="B22" s="108" t="n">
        <v>107432</v>
      </c>
      <c r="C22" s="108" t="n">
        <v>107294</v>
      </c>
      <c r="D22" s="120" t="n">
        <f aca="false">+C22-B22</f>
        <v>-138</v>
      </c>
    </row>
    <row r="23" customFormat="false" ht="12.75" hidden="false" customHeight="false" outlineLevel="0" collapsed="false">
      <c r="A23" s="107" t="n">
        <v>17</v>
      </c>
      <c r="B23" s="108" t="n">
        <v>108973</v>
      </c>
      <c r="C23" s="108" t="n">
        <v>108429</v>
      </c>
      <c r="D23" s="120" t="n">
        <f aca="false">+C23-B23</f>
        <v>-544</v>
      </c>
    </row>
    <row r="24" customFormat="false" ht="12.75" hidden="false" customHeight="false" outlineLevel="0" collapsed="false">
      <c r="A24" s="107" t="n">
        <v>18</v>
      </c>
      <c r="B24" s="108" t="n">
        <v>105972</v>
      </c>
      <c r="C24" s="108" t="n">
        <v>105750</v>
      </c>
      <c r="D24" s="120" t="n">
        <f aca="false">+C24-B24</f>
        <v>-222</v>
      </c>
    </row>
    <row r="25" customFormat="false" ht="12.75" hidden="false" customHeight="false" outlineLevel="0" collapsed="false">
      <c r="A25" s="107" t="n">
        <v>19</v>
      </c>
      <c r="B25" s="108" t="n">
        <v>106485</v>
      </c>
      <c r="C25" s="108" t="n">
        <v>106082</v>
      </c>
      <c r="D25" s="120" t="n">
        <f aca="false">+C25-B25</f>
        <v>-403</v>
      </c>
    </row>
    <row r="26" customFormat="false" ht="12.75" hidden="false" customHeight="false" outlineLevel="0" collapsed="false">
      <c r="A26" s="107" t="n">
        <v>20</v>
      </c>
      <c r="B26" s="108" t="n">
        <v>97063</v>
      </c>
      <c r="C26" s="108" t="n">
        <v>94980</v>
      </c>
      <c r="D26" s="120" t="n">
        <f aca="false">+C26-B26</f>
        <v>-2083</v>
      </c>
    </row>
    <row r="27" customFormat="false" ht="12.75" hidden="false" customHeight="false" outlineLevel="0" collapsed="false">
      <c r="A27" s="107" t="n">
        <v>21</v>
      </c>
      <c r="B27" s="108" t="n">
        <v>91009</v>
      </c>
      <c r="C27" s="108" t="n">
        <v>90233</v>
      </c>
      <c r="D27" s="120" t="n">
        <f aca="false">+C27-B27</f>
        <v>-776</v>
      </c>
    </row>
    <row r="28" customFormat="false" ht="12.75" hidden="false" customHeight="false" outlineLevel="0" collapsed="false">
      <c r="A28" s="107" t="n">
        <v>22</v>
      </c>
      <c r="B28" s="108" t="n">
        <v>120835</v>
      </c>
      <c r="C28" s="108" t="n">
        <v>120080</v>
      </c>
      <c r="D28" s="120" t="n">
        <f aca="false">+C28-B28</f>
        <v>-755</v>
      </c>
    </row>
    <row r="29" customFormat="false" ht="12.75" hidden="false" customHeight="false" outlineLevel="0" collapsed="false">
      <c r="A29" s="107" t="n">
        <v>23</v>
      </c>
      <c r="B29" s="108" t="n">
        <v>119482</v>
      </c>
      <c r="C29" s="108" t="n">
        <v>118456</v>
      </c>
      <c r="D29" s="120" t="n">
        <f aca="false">+C29-B29</f>
        <v>-1026</v>
      </c>
    </row>
    <row r="30" customFormat="false" ht="12.75" hidden="false" customHeight="false" outlineLevel="0" collapsed="false">
      <c r="A30" s="107" t="n">
        <v>24</v>
      </c>
      <c r="B30" s="108" t="n">
        <v>116376</v>
      </c>
      <c r="C30" s="108" t="n">
        <v>114885</v>
      </c>
      <c r="D30" s="120" t="n">
        <f aca="false">+C30-B30</f>
        <v>-1491</v>
      </c>
    </row>
    <row r="31" customFormat="false" ht="12.75" hidden="false" customHeight="false" outlineLevel="0" collapsed="false">
      <c r="A31" s="107" t="n">
        <v>25</v>
      </c>
      <c r="B31" s="108" t="n">
        <v>127730</v>
      </c>
      <c r="C31" s="108" t="n">
        <v>128419</v>
      </c>
      <c r="D31" s="120" t="n">
        <f aca="false">+C31-B31</f>
        <v>689</v>
      </c>
    </row>
    <row r="32" customFormat="false" ht="12.75" hidden="false" customHeight="false" outlineLevel="0" collapsed="false">
      <c r="A32" s="107" t="n">
        <v>26</v>
      </c>
      <c r="B32" s="108" t="n">
        <v>137820</v>
      </c>
      <c r="C32" s="108" t="n">
        <v>139153</v>
      </c>
      <c r="D32" s="120" t="n">
        <f aca="false">+C32-B32</f>
        <v>1333</v>
      </c>
    </row>
    <row r="33" customFormat="false" ht="12.75" hidden="false" customHeight="false" outlineLevel="0" collapsed="false">
      <c r="A33" s="107" t="n">
        <v>27</v>
      </c>
      <c r="B33" s="108" t="n">
        <v>125177</v>
      </c>
      <c r="C33" s="108" t="n">
        <v>125597</v>
      </c>
      <c r="D33" s="120" t="n">
        <f aca="false">+C33-B33</f>
        <v>420</v>
      </c>
    </row>
    <row r="34" customFormat="false" ht="12.75" hidden="false" customHeight="false" outlineLevel="0" collapsed="false">
      <c r="A34" s="107" t="n">
        <v>28</v>
      </c>
      <c r="B34" s="108" t="n">
        <v>124694</v>
      </c>
      <c r="C34" s="108" t="n">
        <v>124546</v>
      </c>
      <c r="D34" s="120" t="n">
        <f aca="false">+C34-B34</f>
        <v>-148</v>
      </c>
    </row>
    <row r="35" customFormat="false" ht="12.75" hidden="false" customHeight="false" outlineLevel="0" collapsed="false">
      <c r="A35" s="107" t="n">
        <v>29</v>
      </c>
      <c r="B35" s="108" t="n">
        <v>117938</v>
      </c>
      <c r="C35" s="108" t="n">
        <v>117986</v>
      </c>
      <c r="D35" s="120" t="n">
        <f aca="false">+C35-B35</f>
        <v>48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3310747</v>
      </c>
      <c r="C38" s="108" t="n">
        <f aca="false">SUM(C7:C37)</f>
        <v>3327761</v>
      </c>
      <c r="D38" s="108" t="n">
        <f aca="false">SUM(D7:D37)</f>
        <v>17014</v>
      </c>
    </row>
    <row r="39" customFormat="false" ht="12.75" hidden="false" customHeight="false" outlineLevel="0" collapsed="false">
      <c r="A39" s="134"/>
      <c r="C39" s="30"/>
      <c r="D39" s="184" t="n">
        <f aca="false">+summary!H3</f>
        <v>2.61</v>
      </c>
    </row>
    <row r="40" customFormat="false" ht="12.75" hidden="false" customHeight="false" outlineLevel="0" collapsed="false">
      <c r="D40" s="132" t="n">
        <f aca="false">+D39*D38</f>
        <v>44406.54</v>
      </c>
    </row>
    <row r="41" customFormat="false" ht="12.75" hidden="false" customHeight="false" outlineLevel="0" collapsed="false">
      <c r="A41" s="152" t="n">
        <v>37103</v>
      </c>
      <c r="C41" s="79"/>
      <c r="D41" s="413" t="n">
        <v>-36642</v>
      </c>
    </row>
    <row r="42" customFormat="false" ht="12.75" hidden="false" customHeight="false" outlineLevel="0" collapsed="false">
      <c r="A42" s="152" t="n">
        <v>37132</v>
      </c>
      <c r="D42" s="131" t="n">
        <f aca="false">+D41+D40</f>
        <v>7764.54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37103</v>
      </c>
      <c r="B47" s="9"/>
      <c r="C47" s="9"/>
      <c r="D47" s="301" t="n">
        <v>-14958</v>
      </c>
    </row>
    <row r="48" customFormat="false" ht="12.75" hidden="false" customHeight="false" outlineLevel="0" collapsed="false">
      <c r="A48" s="124" t="n">
        <f aca="false">+A42</f>
        <v>37132</v>
      </c>
      <c r="B48" s="9"/>
      <c r="C48" s="9"/>
      <c r="D48" s="37" t="n">
        <f aca="false">+D38</f>
        <v>17014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2056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3" activeCellId="0" sqref="B43 B41 B19 B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4" t="s">
        <v>123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114</v>
      </c>
      <c r="B4" s="101" t="s">
        <v>115</v>
      </c>
      <c r="C4" s="145" t="s">
        <v>116</v>
      </c>
      <c r="D4" s="101" t="s">
        <v>115</v>
      </c>
      <c r="E4" s="101" t="s">
        <v>116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-68011</v>
      </c>
      <c r="C5" s="108" t="n">
        <v>-37500</v>
      </c>
      <c r="D5" s="108" t="n">
        <v>-90</v>
      </c>
      <c r="E5" s="108" t="n">
        <v>-29410</v>
      </c>
      <c r="F5" s="108" t="n">
        <f aca="false">+C5-B5+E5-D5</f>
        <v>1191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-49057</v>
      </c>
      <c r="C6" s="108" t="n">
        <v>-20000</v>
      </c>
      <c r="D6" s="108"/>
      <c r="E6" s="108" t="n">
        <v>-27910</v>
      </c>
      <c r="F6" s="108" t="n">
        <f aca="false">+C6-B6+E6-D6</f>
        <v>1147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-48415</v>
      </c>
      <c r="C7" s="108" t="n">
        <v>-11000</v>
      </c>
      <c r="D7" s="108"/>
      <c r="E7" s="108" t="n">
        <v>-36910</v>
      </c>
      <c r="F7" s="108" t="n">
        <f aca="false">+C7-B7+E7-D7</f>
        <v>505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-29951</v>
      </c>
      <c r="C8" s="108"/>
      <c r="D8" s="108"/>
      <c r="E8" s="108" t="n">
        <v>-29410</v>
      </c>
      <c r="F8" s="108" t="n">
        <f aca="false">+C8-B8+E8-D8</f>
        <v>541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-29999</v>
      </c>
      <c r="C9" s="108"/>
      <c r="D9" s="108"/>
      <c r="E9" s="108" t="n">
        <v>-29410</v>
      </c>
      <c r="F9" s="108" t="n">
        <f aca="false">+C9-B9+E9-D9</f>
        <v>589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 t="n">
        <v>-29297</v>
      </c>
      <c r="C10" s="108"/>
      <c r="D10" s="108"/>
      <c r="E10" s="108" t="n">
        <v>-28307</v>
      </c>
      <c r="F10" s="108" t="n">
        <f aca="false">+C10-B10+E10-D10</f>
        <v>990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 t="n">
        <v>-64051</v>
      </c>
      <c r="C11" s="108" t="n">
        <v>-11000</v>
      </c>
      <c r="D11" s="108"/>
      <c r="E11" s="108" t="n">
        <v>-51049</v>
      </c>
      <c r="F11" s="108" t="n">
        <f aca="false">+C11-B11+E11-D11</f>
        <v>2002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 t="n">
        <v>-35246</v>
      </c>
      <c r="C12" s="108"/>
      <c r="D12" s="108"/>
      <c r="E12" s="108" t="n">
        <v>-34257</v>
      </c>
      <c r="F12" s="108" t="n">
        <f aca="false">+C12-B12+E12-D12</f>
        <v>989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 t="n">
        <v>-61903</v>
      </c>
      <c r="C13" s="108" t="n">
        <v>-10000</v>
      </c>
      <c r="D13" s="108"/>
      <c r="E13" s="108" t="n">
        <v>-49974</v>
      </c>
      <c r="F13" s="108" t="n">
        <f aca="false">+C13-B13+E13-D13</f>
        <v>1929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 t="n">
        <v>-63569</v>
      </c>
      <c r="C14" s="108" t="n">
        <v>-17500</v>
      </c>
      <c r="D14" s="108"/>
      <c r="E14" s="108" t="n">
        <v>-44910</v>
      </c>
      <c r="F14" s="108" t="n">
        <f aca="false">+C14-B14+E14-D14</f>
        <v>1159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 t="n">
        <v>-57587</v>
      </c>
      <c r="C15" s="108" t="n">
        <v>-27000</v>
      </c>
      <c r="D15" s="108"/>
      <c r="E15" s="108" t="n">
        <v>-28288</v>
      </c>
      <c r="F15" s="108" t="n">
        <f aca="false">+C15-B15+E15-D15</f>
        <v>2299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 t="n">
        <v>-57418</v>
      </c>
      <c r="C16" s="108" t="n">
        <v>-27000</v>
      </c>
      <c r="D16" s="108"/>
      <c r="E16" s="108" t="n">
        <v>-28592</v>
      </c>
      <c r="F16" s="108" t="n">
        <f aca="false">+C16-B16+E16-D16</f>
        <v>1826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 t="n">
        <v>-57225</v>
      </c>
      <c r="C17" s="108" t="n">
        <v>-27000</v>
      </c>
      <c r="D17" s="108"/>
      <c r="E17" s="108" t="n">
        <v>-28771</v>
      </c>
      <c r="F17" s="108" t="n">
        <f aca="false">+C17-B17+E17-D17</f>
        <v>1454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 t="n">
        <v>-88695</v>
      </c>
      <c r="C18" s="108" t="n">
        <v>-12000</v>
      </c>
      <c r="D18" s="108"/>
      <c r="E18" s="108" t="n">
        <v>-75910</v>
      </c>
      <c r="F18" s="108" t="n">
        <f aca="false">+C18-B18+E18-D18</f>
        <v>785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 t="n">
        <v>-79069</v>
      </c>
      <c r="C19" s="108" t="n">
        <v>-11998</v>
      </c>
      <c r="D19" s="108" t="n">
        <v>-23700</v>
      </c>
      <c r="E19" s="108" t="n">
        <v>-90257</v>
      </c>
      <c r="F19" s="108" t="n">
        <f aca="false">+C19-B19+E19-D19</f>
        <v>514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 t="n">
        <v>-46861</v>
      </c>
      <c r="C20" s="108" t="n">
        <v>-5000</v>
      </c>
      <c r="D20" s="108" t="n">
        <v>-44315</v>
      </c>
      <c r="E20" s="108" t="n">
        <v>-84512</v>
      </c>
      <c r="F20" s="108" t="n">
        <f aca="false">+C20-B20+E20-D20</f>
        <v>1664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 t="n">
        <v>-62441</v>
      </c>
      <c r="C21" s="108"/>
      <c r="D21" s="108"/>
      <c r="E21" s="108" t="n">
        <v>-60910</v>
      </c>
      <c r="F21" s="108" t="n">
        <f aca="false">+C21-B21+E21-D21</f>
        <v>1531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 t="n">
        <v>-81752</v>
      </c>
      <c r="C22" s="108" t="n">
        <v>-48000</v>
      </c>
      <c r="D22" s="108" t="n">
        <v>-65196</v>
      </c>
      <c r="E22" s="108" t="n">
        <v>-97157</v>
      </c>
      <c r="F22" s="108" t="n">
        <f aca="false">+C22-B22+E22-D22</f>
        <v>1791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 t="n">
        <v>-76011</v>
      </c>
      <c r="C23" s="108" t="n">
        <v>-48000</v>
      </c>
      <c r="D23" s="108" t="n">
        <v>-60094</v>
      </c>
      <c r="E23" s="108" t="n">
        <v>-88748</v>
      </c>
      <c r="F23" s="108" t="n">
        <f aca="false">+C23-B23+E23-D23</f>
        <v>-643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 t="n">
        <v>-84945</v>
      </c>
      <c r="C24" s="108" t="n">
        <v>-48000</v>
      </c>
      <c r="D24" s="108" t="n">
        <v>-68581</v>
      </c>
      <c r="E24" s="108" t="n">
        <v>-102023</v>
      </c>
      <c r="F24" s="108" t="n">
        <f aca="false">+C24-B24+E24-D24</f>
        <v>3503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 t="n">
        <v>-34415</v>
      </c>
      <c r="C25" s="108" t="n">
        <v>-30000</v>
      </c>
      <c r="D25" s="108" t="n">
        <v>-43468</v>
      </c>
      <c r="E25" s="108" t="n">
        <v>-49989</v>
      </c>
      <c r="F25" s="108" t="n">
        <f aca="false">+C25-B25+E25-D25</f>
        <v>-2106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 t="n">
        <v>-75971</v>
      </c>
      <c r="C26" s="108" t="n">
        <v>-37000</v>
      </c>
      <c r="D26" s="108"/>
      <c r="E26" s="108" t="n">
        <v>-36910</v>
      </c>
      <c r="F26" s="108" t="n">
        <f aca="false">+C26-B26+E26-D26</f>
        <v>2061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 t="n">
        <v>-55320</v>
      </c>
      <c r="C27" s="108" t="n">
        <v>-21996</v>
      </c>
      <c r="D27" s="108"/>
      <c r="E27" s="108" t="n">
        <v>-31910</v>
      </c>
      <c r="F27" s="108" t="n">
        <f aca="false">+C27-B27+E27-D27</f>
        <v>1414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 t="n">
        <v>-83890</v>
      </c>
      <c r="C28" s="108" t="n">
        <v>-16199</v>
      </c>
      <c r="D28" s="108"/>
      <c r="E28" s="108" t="n">
        <v>-65075</v>
      </c>
      <c r="F28" s="108" t="n">
        <f aca="false">+C28-B28+E28-D28</f>
        <v>2616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 t="n">
        <v>-52746</v>
      </c>
      <c r="C29" s="108" t="n">
        <v>-12063</v>
      </c>
      <c r="D29" s="108"/>
      <c r="E29" s="108" t="n">
        <v>-39275</v>
      </c>
      <c r="F29" s="108" t="n">
        <f aca="false">+C29-B29+E29-D29</f>
        <v>1408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 t="n">
        <v>-52978</v>
      </c>
      <c r="C30" s="108" t="n">
        <v>-12063</v>
      </c>
      <c r="D30" s="108"/>
      <c r="E30" s="108" t="n">
        <v>-38678</v>
      </c>
      <c r="F30" s="108" t="n">
        <f aca="false">+C30-B30+E30-D30</f>
        <v>2237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 t="n">
        <v>-52673</v>
      </c>
      <c r="C31" s="108" t="n">
        <v>-12063</v>
      </c>
      <c r="D31" s="108"/>
      <c r="E31" s="108" t="n">
        <v>-39275</v>
      </c>
      <c r="F31" s="108" t="n">
        <f aca="false">+C31-B31+E31-D31</f>
        <v>1335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 t="n">
        <v>-85760</v>
      </c>
      <c r="C32" s="108" t="n">
        <v>-5000</v>
      </c>
      <c r="D32" s="108"/>
      <c r="E32" s="108" t="n">
        <v>-78979</v>
      </c>
      <c r="F32" s="108" t="n">
        <f aca="false">+C32-B32+E32-D32</f>
        <v>1781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 t="n">
        <v>-75571</v>
      </c>
      <c r="C33" s="108" t="n">
        <v>-5000</v>
      </c>
      <c r="D33" s="108"/>
      <c r="E33" s="108" t="n">
        <v>-71275</v>
      </c>
      <c r="F33" s="108" t="n">
        <f aca="false">+C33-B33+E33-D33</f>
        <v>-704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-1740827</v>
      </c>
      <c r="C36" s="148" t="n">
        <f aca="false">SUM(C5:C35)</f>
        <v>-512382</v>
      </c>
      <c r="D36" s="108" t="n">
        <f aca="false">SUM(D5:D35)</f>
        <v>-305444</v>
      </c>
      <c r="E36" s="148" t="n">
        <f aca="false">SUM(E5:E35)</f>
        <v>-1498081</v>
      </c>
      <c r="F36" s="108" t="n">
        <f aca="false">SUM(F5:F35)</f>
        <v>35808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-1228445</v>
      </c>
      <c r="D37" s="108"/>
      <c r="E37" s="108" t="n">
        <f aca="false">+D36-E36</f>
        <v>1192637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37103</v>
      </c>
      <c r="C41" s="30"/>
      <c r="D41" s="153"/>
      <c r="E41" s="153"/>
      <c r="F41" s="154" t="n">
        <v>36339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37132</v>
      </c>
      <c r="C42" s="30"/>
      <c r="D42" s="153"/>
      <c r="E42" s="153"/>
      <c r="F42" s="108" t="n">
        <f aca="false">+F41+F36</f>
        <v>72147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37103</v>
      </c>
      <c r="B47" s="9"/>
      <c r="C47" s="9"/>
      <c r="D47" s="58" t="n">
        <v>-29968.41</v>
      </c>
    </row>
    <row r="48" customFormat="false" ht="12.75" hidden="false" customHeight="false" outlineLevel="0" collapsed="false">
      <c r="A48" s="124" t="n">
        <f aca="false">+B42</f>
        <v>37132</v>
      </c>
      <c r="B48" s="9"/>
      <c r="C48" s="9"/>
      <c r="D48" s="126" t="n">
        <f aca="false">+F36*'by type'!J4</f>
        <v>99188.16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69219.75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B48" activeCellId="3" sqref="C33 C12 A41 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-151076</v>
      </c>
      <c r="C4" s="108" t="n">
        <v>-150326</v>
      </c>
      <c r="D4" s="120" t="n">
        <f aca="false">+C4-B4</f>
        <v>750</v>
      </c>
    </row>
    <row r="5" customFormat="false" ht="12.75" hidden="false" customHeight="false" outlineLevel="0" collapsed="false">
      <c r="A5" s="107" t="n">
        <v>2</v>
      </c>
      <c r="B5" s="108" t="n">
        <v>-186416</v>
      </c>
      <c r="C5" s="108" t="n">
        <v>-184781</v>
      </c>
      <c r="D5" s="120" t="n">
        <f aca="false">+C5-B5</f>
        <v>1635</v>
      </c>
    </row>
    <row r="6" customFormat="false" ht="12.75" hidden="false" customHeight="false" outlineLevel="0" collapsed="false">
      <c r="A6" s="107" t="n">
        <v>3</v>
      </c>
      <c r="B6" s="108" t="n">
        <v>-210011</v>
      </c>
      <c r="C6" s="108" t="n">
        <v>-208808</v>
      </c>
      <c r="D6" s="120" t="n">
        <f aca="false">+C6-B6</f>
        <v>1203</v>
      </c>
    </row>
    <row r="7" customFormat="false" ht="12.75" hidden="false" customHeight="false" outlineLevel="0" collapsed="false">
      <c r="A7" s="107" t="n">
        <v>4</v>
      </c>
      <c r="B7" s="108" t="n">
        <v>-245094</v>
      </c>
      <c r="C7" s="108" t="n">
        <v>-241726</v>
      </c>
      <c r="D7" s="120" t="n">
        <f aca="false">+C7-B7</f>
        <v>3368</v>
      </c>
    </row>
    <row r="8" customFormat="false" ht="12.75" hidden="false" customHeight="false" outlineLevel="0" collapsed="false">
      <c r="A8" s="107" t="n">
        <v>5</v>
      </c>
      <c r="B8" s="108" t="n">
        <v>-236194</v>
      </c>
      <c r="C8" s="108" t="n">
        <v>-235157</v>
      </c>
      <c r="D8" s="120" t="n">
        <f aca="false">+C8-B8</f>
        <v>1037</v>
      </c>
    </row>
    <row r="9" customFormat="false" ht="12.75" hidden="false" customHeight="false" outlineLevel="0" collapsed="false">
      <c r="A9" s="107" t="n">
        <v>6</v>
      </c>
      <c r="B9" s="108" t="n">
        <v>-172231</v>
      </c>
      <c r="C9" s="108" t="n">
        <v>-181280</v>
      </c>
      <c r="D9" s="120" t="n">
        <f aca="false">+C9-B9</f>
        <v>-9049</v>
      </c>
    </row>
    <row r="10" customFormat="false" ht="12.75" hidden="false" customHeight="false" outlineLevel="0" collapsed="false">
      <c r="A10" s="107" t="n">
        <v>7</v>
      </c>
      <c r="B10" s="108" t="n">
        <v>-117605</v>
      </c>
      <c r="C10" s="108" t="n">
        <v>-116400</v>
      </c>
      <c r="D10" s="120" t="n">
        <f aca="false">+C10-B10</f>
        <v>1205</v>
      </c>
    </row>
    <row r="11" customFormat="false" ht="12.75" hidden="false" customHeight="false" outlineLevel="0" collapsed="false">
      <c r="A11" s="107" t="n">
        <v>8</v>
      </c>
      <c r="B11" s="108" t="n">
        <v>-109940</v>
      </c>
      <c r="C11" s="108" t="n">
        <v>-109486</v>
      </c>
      <c r="D11" s="120" t="n">
        <f aca="false">+C11-B11</f>
        <v>454</v>
      </c>
    </row>
    <row r="12" customFormat="false" ht="12.75" hidden="false" customHeight="false" outlineLevel="0" collapsed="false">
      <c r="A12" s="107" t="n">
        <v>9</v>
      </c>
      <c r="B12" s="108" t="n">
        <v>-138076</v>
      </c>
      <c r="C12" s="108" t="n">
        <v>-137436</v>
      </c>
      <c r="D12" s="120" t="n">
        <f aca="false">+C12-B12</f>
        <v>640</v>
      </c>
    </row>
    <row r="13" customFormat="false" ht="12.75" hidden="false" customHeight="false" outlineLevel="0" collapsed="false">
      <c r="A13" s="107" t="n">
        <v>10</v>
      </c>
      <c r="B13" s="108" t="n">
        <v>-158047</v>
      </c>
      <c r="C13" s="108" t="n">
        <v>-156889</v>
      </c>
      <c r="D13" s="120" t="n">
        <f aca="false">+C13-B13</f>
        <v>1158</v>
      </c>
    </row>
    <row r="14" customFormat="false" ht="12.75" hidden="false" customHeight="false" outlineLevel="0" collapsed="false">
      <c r="A14" s="107" t="n">
        <v>11</v>
      </c>
      <c r="B14" s="108" t="n">
        <v>-221811</v>
      </c>
      <c r="C14" s="108" t="n">
        <v>-219321</v>
      </c>
      <c r="D14" s="120" t="n">
        <f aca="false">+C14-B14</f>
        <v>2490</v>
      </c>
    </row>
    <row r="15" customFormat="false" ht="12.75" hidden="false" customHeight="false" outlineLevel="0" collapsed="false">
      <c r="A15" s="107" t="n">
        <v>12</v>
      </c>
      <c r="B15" s="108" t="n">
        <v>-161285</v>
      </c>
      <c r="C15" s="108" t="n">
        <v>-160322</v>
      </c>
      <c r="D15" s="120" t="n">
        <f aca="false">+C15-B15</f>
        <v>963</v>
      </c>
    </row>
    <row r="16" customFormat="false" ht="12.75" hidden="false" customHeight="false" outlineLevel="0" collapsed="false">
      <c r="A16" s="107" t="n">
        <v>13</v>
      </c>
      <c r="B16" s="108" t="n">
        <v>-180446</v>
      </c>
      <c r="C16" s="108" t="n">
        <v>-185322</v>
      </c>
      <c r="D16" s="120" t="n">
        <f aca="false">+C16-B16</f>
        <v>-4876</v>
      </c>
    </row>
    <row r="17" customFormat="false" ht="12.75" hidden="false" customHeight="false" outlineLevel="0" collapsed="false">
      <c r="A17" s="107" t="n">
        <v>14</v>
      </c>
      <c r="B17" s="108" t="n">
        <v>-179929</v>
      </c>
      <c r="C17" s="108" t="n">
        <v>-178986</v>
      </c>
      <c r="D17" s="120" t="n">
        <f aca="false">+C17-B17</f>
        <v>943</v>
      </c>
    </row>
    <row r="18" customFormat="false" ht="12.75" hidden="false" customHeight="false" outlineLevel="0" collapsed="false">
      <c r="A18" s="107" t="n">
        <v>15</v>
      </c>
      <c r="B18" s="108" t="n">
        <v>-198888</v>
      </c>
      <c r="C18" s="108" t="n">
        <v>-198260</v>
      </c>
      <c r="D18" s="120" t="n">
        <f aca="false">+C18-B18</f>
        <v>628</v>
      </c>
    </row>
    <row r="19" customFormat="false" ht="12.75" hidden="false" customHeight="false" outlineLevel="0" collapsed="false">
      <c r="A19" s="107" t="n">
        <v>16</v>
      </c>
      <c r="B19" s="108" t="n">
        <v>-201390</v>
      </c>
      <c r="C19" s="108" t="n">
        <v>-202819</v>
      </c>
      <c r="D19" s="120" t="n">
        <f aca="false">+C19-B19</f>
        <v>-1429</v>
      </c>
    </row>
    <row r="20" customFormat="false" ht="12.75" hidden="false" customHeight="false" outlineLevel="0" collapsed="false">
      <c r="A20" s="107" t="n">
        <v>17</v>
      </c>
      <c r="B20" s="108" t="n">
        <v>-221368</v>
      </c>
      <c r="C20" s="108" t="n">
        <v>-219862</v>
      </c>
      <c r="D20" s="120" t="n">
        <f aca="false">+C20-B20</f>
        <v>1506</v>
      </c>
    </row>
    <row r="21" customFormat="false" ht="12.75" hidden="false" customHeight="false" outlineLevel="0" collapsed="false">
      <c r="A21" s="107" t="n">
        <v>18</v>
      </c>
      <c r="B21" s="108" t="n">
        <v>-246242</v>
      </c>
      <c r="C21" s="108" t="n">
        <v>-245186</v>
      </c>
      <c r="D21" s="120" t="n">
        <f aca="false">+C21-B21</f>
        <v>1056</v>
      </c>
    </row>
    <row r="22" customFormat="false" ht="12.75" hidden="false" customHeight="false" outlineLevel="0" collapsed="false">
      <c r="A22" s="107" t="n">
        <v>19</v>
      </c>
      <c r="B22" s="108" t="n">
        <v>-212136</v>
      </c>
      <c r="C22" s="108" t="n">
        <v>-211394</v>
      </c>
      <c r="D22" s="120" t="n">
        <f aca="false">+C22-B22</f>
        <v>742</v>
      </c>
    </row>
    <row r="23" customFormat="false" ht="12.75" hidden="false" customHeight="false" outlineLevel="0" collapsed="false">
      <c r="A23" s="107" t="n">
        <v>20</v>
      </c>
      <c r="B23" s="108" t="n">
        <v>-189598</v>
      </c>
      <c r="C23" s="108" t="n">
        <v>-188009</v>
      </c>
      <c r="D23" s="120" t="n">
        <f aca="false">+C23-B23</f>
        <v>1589</v>
      </c>
    </row>
    <row r="24" customFormat="false" ht="12.75" hidden="false" customHeight="false" outlineLevel="0" collapsed="false">
      <c r="A24" s="107" t="n">
        <v>21</v>
      </c>
      <c r="B24" s="108" t="n">
        <v>-122945</v>
      </c>
      <c r="C24" s="108" t="n">
        <v>-120841</v>
      </c>
      <c r="D24" s="120" t="n">
        <f aca="false">+C24-B24</f>
        <v>2104</v>
      </c>
    </row>
    <row r="25" customFormat="false" ht="12.75" hidden="false" customHeight="false" outlineLevel="0" collapsed="false">
      <c r="A25" s="107" t="n">
        <v>22</v>
      </c>
      <c r="B25" s="108" t="n">
        <v>-180542</v>
      </c>
      <c r="C25" s="108" t="n">
        <v>-179917</v>
      </c>
      <c r="D25" s="120" t="n">
        <f aca="false">+C25-B25</f>
        <v>625</v>
      </c>
    </row>
    <row r="26" customFormat="false" ht="12.75" hidden="false" customHeight="false" outlineLevel="0" collapsed="false">
      <c r="A26" s="107" t="n">
        <v>23</v>
      </c>
      <c r="B26" s="108" t="n">
        <v>-162154</v>
      </c>
      <c r="C26" s="108" t="n">
        <v>-161135</v>
      </c>
      <c r="D26" s="120" t="n">
        <f aca="false">+C26-B26</f>
        <v>1019</v>
      </c>
    </row>
    <row r="27" customFormat="false" ht="12.75" hidden="false" customHeight="false" outlineLevel="0" collapsed="false">
      <c r="A27" s="107" t="n">
        <v>24</v>
      </c>
      <c r="B27" s="108" t="n">
        <v>-176509</v>
      </c>
      <c r="C27" s="108" t="n">
        <v>-174939</v>
      </c>
      <c r="D27" s="120" t="n">
        <f aca="false">+C27-B27</f>
        <v>1570</v>
      </c>
    </row>
    <row r="28" customFormat="false" ht="12.75" hidden="false" customHeight="false" outlineLevel="0" collapsed="false">
      <c r="A28" s="107" t="n">
        <v>25</v>
      </c>
      <c r="B28" s="108" t="n">
        <v>-174033</v>
      </c>
      <c r="C28" s="108" t="n">
        <v>-170727</v>
      </c>
      <c r="D28" s="120" t="n">
        <f aca="false">+C28-B28</f>
        <v>3306</v>
      </c>
    </row>
    <row r="29" customFormat="false" ht="12.75" hidden="false" customHeight="false" outlineLevel="0" collapsed="false">
      <c r="A29" s="107" t="n">
        <v>26</v>
      </c>
      <c r="B29" s="108" t="n">
        <v>-176005</v>
      </c>
      <c r="C29" s="108" t="n">
        <v>-174969</v>
      </c>
      <c r="D29" s="120" t="n">
        <f aca="false">+C29-B29</f>
        <v>1036</v>
      </c>
    </row>
    <row r="30" customFormat="false" ht="12.75" hidden="false" customHeight="false" outlineLevel="0" collapsed="false">
      <c r="A30" s="107" t="n">
        <v>27</v>
      </c>
      <c r="B30" s="108" t="n">
        <v>-177989</v>
      </c>
      <c r="C30" s="108" t="n">
        <v>-178155</v>
      </c>
      <c r="D30" s="120" t="n">
        <f aca="false">+C30-B30</f>
        <v>-166</v>
      </c>
    </row>
    <row r="31" customFormat="false" ht="12.75" hidden="false" customHeight="false" outlineLevel="0" collapsed="false">
      <c r="A31" s="107" t="n">
        <v>28</v>
      </c>
      <c r="B31" s="108" t="n">
        <v>-183428</v>
      </c>
      <c r="C31" s="108" t="n">
        <v>-182658</v>
      </c>
      <c r="D31" s="120" t="n">
        <f aca="false">+C31-B31</f>
        <v>770</v>
      </c>
    </row>
    <row r="32" customFormat="false" ht="12.75" hidden="false" customHeight="false" outlineLevel="0" collapsed="false">
      <c r="A32" s="107" t="n">
        <v>29</v>
      </c>
      <c r="B32" s="108" t="n">
        <v>-178185</v>
      </c>
      <c r="C32" s="108" t="n">
        <v>-176667</v>
      </c>
      <c r="D32" s="120" t="n">
        <f aca="false">+C32-B32</f>
        <v>1518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-5269573</v>
      </c>
      <c r="C35" s="108" t="n">
        <f aca="false">SUM(C4:C34)</f>
        <v>-5251778</v>
      </c>
      <c r="D35" s="108" t="n">
        <f aca="false">SUM(D4:D34)</f>
        <v>17795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8" t="n">
        <v>37103</v>
      </c>
      <c r="D38" s="154" t="n">
        <v>24900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8" t="n">
        <v>37132</v>
      </c>
      <c r="D40" s="108" t="n">
        <f aca="false">+D38+D35</f>
        <v>42695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-156083.38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37132</v>
      </c>
      <c r="B46" s="9"/>
      <c r="C46" s="9"/>
      <c r="D46" s="126" t="n">
        <f aca="false">+D35*'by type'!J4</f>
        <v>49292.15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-106791.23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59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A41" activeCellId="3" sqref="D31 C39 C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0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-783122</v>
      </c>
      <c r="C4" s="108" t="n">
        <v>-801047</v>
      </c>
      <c r="D4" s="108" t="n">
        <v>-40000</v>
      </c>
      <c r="E4" s="108" t="n">
        <v>-40000</v>
      </c>
      <c r="F4" s="120" t="n">
        <f aca="false">+E4+C4-D4-B4</f>
        <v>-17925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-765413</v>
      </c>
      <c r="C5" s="108" t="n">
        <v>-746994</v>
      </c>
      <c r="D5" s="108" t="n">
        <v>-39998</v>
      </c>
      <c r="E5" s="108" t="n">
        <v>-40000</v>
      </c>
      <c r="F5" s="120" t="n">
        <f aca="false">+C5-B5+E5-D5</f>
        <v>18417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-751586</v>
      </c>
      <c r="C6" s="108" t="n">
        <v>-748805</v>
      </c>
      <c r="D6" s="108" t="n">
        <v>-39999</v>
      </c>
      <c r="E6" s="108" t="n">
        <v>-40000</v>
      </c>
      <c r="F6" s="120" t="n">
        <f aca="false">+C6-B6+E6-D6</f>
        <v>2780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-739284</v>
      </c>
      <c r="C7" s="108" t="n">
        <v>-742991</v>
      </c>
      <c r="D7" s="108" t="n">
        <v>-101</v>
      </c>
      <c r="E7" s="108"/>
      <c r="F7" s="120" t="n">
        <f aca="false">+C7-B7+E7-D7</f>
        <v>-3606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-714787</v>
      </c>
      <c r="C8" s="108" t="n">
        <v>-734668</v>
      </c>
      <c r="D8" s="108"/>
      <c r="E8" s="108"/>
      <c r="F8" s="120" t="n">
        <f aca="false">+C8-B8+E8-D8</f>
        <v>-19881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 t="n">
        <v>-734353</v>
      </c>
      <c r="C9" s="108" t="n">
        <v>-750409</v>
      </c>
      <c r="D9" s="108" t="n">
        <v>-9877</v>
      </c>
      <c r="E9" s="108" t="n">
        <v>-10000</v>
      </c>
      <c r="F9" s="120" t="n">
        <f aca="false">+C9-B9+E9-D9</f>
        <v>-16179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 t="n">
        <v>-729199</v>
      </c>
      <c r="C10" s="108" t="n">
        <v>-722209</v>
      </c>
      <c r="D10" s="108" t="n">
        <v>-25859</v>
      </c>
      <c r="E10" s="108" t="n">
        <v>-25000</v>
      </c>
      <c r="F10" s="120" t="n">
        <f aca="false">+C10-B10+E10-D10</f>
        <v>7849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 t="n">
        <v>-719904</v>
      </c>
      <c r="C11" s="108" t="n">
        <v>-715180</v>
      </c>
      <c r="D11" s="108" t="n">
        <v>-27002</v>
      </c>
      <c r="E11" s="108" t="n">
        <v>-25000</v>
      </c>
      <c r="F11" s="120" t="n">
        <f aca="false">+C11-B11+E11-D11</f>
        <v>6726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 t="n">
        <v>-725690</v>
      </c>
      <c r="C12" s="108" t="n">
        <v>-722897</v>
      </c>
      <c r="D12" s="108" t="n">
        <v>-51038</v>
      </c>
      <c r="E12" s="108" t="n">
        <v>-50000</v>
      </c>
      <c r="F12" s="120" t="n">
        <f aca="false">+C12-B12+E12-D12</f>
        <v>3831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 t="n">
        <v>-740803</v>
      </c>
      <c r="C13" s="108" t="n">
        <v>-742788</v>
      </c>
      <c r="D13" s="108" t="n">
        <v>-51972</v>
      </c>
      <c r="E13" s="108" t="n">
        <v>-50000</v>
      </c>
      <c r="F13" s="120" t="n">
        <f aca="false">+C13-B13+E13-D13</f>
        <v>-13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 t="n">
        <v>-752259</v>
      </c>
      <c r="C14" s="108" t="n">
        <v>-753379</v>
      </c>
      <c r="D14" s="108" t="n">
        <v>-124</v>
      </c>
      <c r="E14" s="108"/>
      <c r="F14" s="120" t="n">
        <f aca="false">+C14-B14+E14-D14</f>
        <v>-996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 t="n">
        <v>-743592</v>
      </c>
      <c r="C15" s="108" t="n">
        <v>-743981</v>
      </c>
      <c r="D15" s="108" t="n">
        <v>-51599</v>
      </c>
      <c r="E15" s="108" t="n">
        <v>-50000</v>
      </c>
      <c r="F15" s="120" t="n">
        <f aca="false">+C15-B15+E15-D15</f>
        <v>1210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 t="n">
        <v>-722904</v>
      </c>
      <c r="C16" s="108" t="n">
        <v>-722201</v>
      </c>
      <c r="D16" s="108" t="n">
        <v>-20107</v>
      </c>
      <c r="E16" s="108" t="n">
        <v>-20000</v>
      </c>
      <c r="F16" s="120" t="n">
        <f aca="false">+C16-B16+E16-D16</f>
        <v>810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 t="n">
        <v>-711618</v>
      </c>
      <c r="C17" s="108" t="n">
        <v>-701605</v>
      </c>
      <c r="D17" s="108"/>
      <c r="E17" s="108"/>
      <c r="F17" s="120" t="n">
        <f aca="false">+C17-B17+E17-D17</f>
        <v>10013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 t="n">
        <v>-679140</v>
      </c>
      <c r="C18" s="108" t="n">
        <v>-681609</v>
      </c>
      <c r="D18" s="108"/>
      <c r="E18" s="108"/>
      <c r="F18" s="120" t="n">
        <f aca="false">+C18-B18+E18-D18</f>
        <v>-2469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 t="n">
        <v>-674938</v>
      </c>
      <c r="C19" s="108" t="n">
        <v>-699370</v>
      </c>
      <c r="D19" s="108" t="n">
        <v>-25872</v>
      </c>
      <c r="E19" s="108" t="n">
        <v>-25000</v>
      </c>
      <c r="F19" s="120" t="n">
        <f aca="false">+C19-B19+E19-D19</f>
        <v>-23560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 t="n">
        <v>-694068</v>
      </c>
      <c r="C20" s="108" t="n">
        <v>-664964</v>
      </c>
      <c r="D20" s="108" t="n">
        <v>-25122</v>
      </c>
      <c r="E20" s="108" t="n">
        <v>-25000</v>
      </c>
      <c r="F20" s="120" t="n">
        <f aca="false">+C20-B20+E20-D20</f>
        <v>29226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 t="n">
        <v>-715015</v>
      </c>
      <c r="C21" s="108" t="n">
        <v>-718391</v>
      </c>
      <c r="D21" s="108" t="n">
        <v>-185</v>
      </c>
      <c r="E21" s="108"/>
      <c r="F21" s="120" t="n">
        <f aca="false">+C21-B21+E21-D21</f>
        <v>-3191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 t="n">
        <v>-703637</v>
      </c>
      <c r="C22" s="108" t="n">
        <v>-699226</v>
      </c>
      <c r="D22" s="108" t="n">
        <v>-24990</v>
      </c>
      <c r="E22" s="108" t="n">
        <v>-25000</v>
      </c>
      <c r="F22" s="120" t="n">
        <f aca="false">+C22-B22+E22-D22</f>
        <v>4401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 t="n">
        <v>-684261</v>
      </c>
      <c r="C23" s="108" t="n">
        <v>-661695</v>
      </c>
      <c r="D23" s="108" t="n">
        <v>-6703</v>
      </c>
      <c r="E23" s="108" t="n">
        <v>-5000</v>
      </c>
      <c r="F23" s="120" t="n">
        <f aca="false">+C23-B23+E23-D23</f>
        <v>24269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 t="n">
        <v>-705505</v>
      </c>
      <c r="C24" s="108" t="n">
        <v>-692927</v>
      </c>
      <c r="D24" s="108" t="n">
        <v>-25793</v>
      </c>
      <c r="E24" s="108" t="n">
        <v>-25000</v>
      </c>
      <c r="F24" s="120" t="n">
        <f aca="false">+C24-B24+E24-D24</f>
        <v>13371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 t="n">
        <v>-694670</v>
      </c>
      <c r="C25" s="108" t="n">
        <v>-697277</v>
      </c>
      <c r="D25" s="108" t="n">
        <v>-24997</v>
      </c>
      <c r="E25" s="108" t="n">
        <v>-25000</v>
      </c>
      <c r="F25" s="120" t="n">
        <f aca="false">+C25-B25+E25-D25</f>
        <v>-2610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 t="n">
        <v>-700984</v>
      </c>
      <c r="C26" s="108" t="n">
        <v>-681477</v>
      </c>
      <c r="D26" s="108" t="n">
        <v>-25002</v>
      </c>
      <c r="E26" s="108" t="n">
        <v>-25000</v>
      </c>
      <c r="F26" s="120" t="n">
        <f aca="false">+C26-B26+E26-D26</f>
        <v>19509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 t="n">
        <v>-680977</v>
      </c>
      <c r="C27" s="108" t="n">
        <v>-683267</v>
      </c>
      <c r="D27" s="108" t="n">
        <v>-24997</v>
      </c>
      <c r="E27" s="108" t="n">
        <v>-25000</v>
      </c>
      <c r="F27" s="120" t="n">
        <f aca="false">+C27-B27+E27-D27</f>
        <v>-2293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 t="n">
        <v>-693830</v>
      </c>
      <c r="C28" s="108" t="n">
        <v>-704130</v>
      </c>
      <c r="D28" s="108" t="n">
        <v>-25000</v>
      </c>
      <c r="E28" s="108" t="n">
        <v>-25000</v>
      </c>
      <c r="F28" s="120" t="n">
        <f aca="false">+C28-B28+E28-D28</f>
        <v>-10300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 t="n">
        <v>-681818</v>
      </c>
      <c r="C29" s="108" t="n">
        <v>-696016</v>
      </c>
      <c r="D29" s="108" t="n">
        <v>-25002</v>
      </c>
      <c r="E29" s="108" t="n">
        <v>-25000</v>
      </c>
      <c r="F29" s="120" t="n">
        <f aca="false">+C29-B29+E29-D29</f>
        <v>-14196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 t="n">
        <v>-671056</v>
      </c>
      <c r="C30" s="108" t="n">
        <v>-666426</v>
      </c>
      <c r="D30" s="108" t="n">
        <v>-25000</v>
      </c>
      <c r="E30" s="108" t="n">
        <v>-25000</v>
      </c>
      <c r="F30" s="120" t="n">
        <f aca="false">+C30-B30+E30-D30</f>
        <v>4630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 t="n">
        <v>-688957</v>
      </c>
      <c r="C31" s="108" t="n">
        <v>-685660</v>
      </c>
      <c r="D31" s="108" t="n">
        <v>-39</v>
      </c>
      <c r="E31" s="108"/>
      <c r="F31" s="120" t="n">
        <f aca="false">+C31-B31+E31-D31</f>
        <v>3336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 t="n">
        <v>-686795</v>
      </c>
      <c r="C32" s="108" t="n">
        <v>-701039</v>
      </c>
      <c r="D32" s="108"/>
      <c r="E32" s="108"/>
      <c r="F32" s="120" t="n">
        <f aca="false">+C32-B32+E32-D32</f>
        <v>-14244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-20690165</v>
      </c>
      <c r="C35" s="108" t="n">
        <f aca="false">SUM(C4:C34)</f>
        <v>-20682628</v>
      </c>
      <c r="D35" s="108" t="n">
        <f aca="false">SUM(D4:D34)</f>
        <v>-616378</v>
      </c>
      <c r="E35" s="108" t="n">
        <f aca="false">SUM(E4:E34)</f>
        <v>-605000</v>
      </c>
      <c r="F35" s="108" t="n">
        <f aca="false">SUM(F4:F34)</f>
        <v>18915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37103</v>
      </c>
      <c r="F38" s="154" t="n">
        <v>145102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37132</v>
      </c>
      <c r="F40" s="108" t="n">
        <f aca="false">+F38+F35</f>
        <v>164017</v>
      </c>
    </row>
    <row r="42" customFormat="false" ht="12.75" hidden="false" customHeight="false" outlineLevel="0" collapsed="false"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2"/>
      <c r="AG43" s="161"/>
      <c r="AH43" s="161"/>
      <c r="AI43" s="163"/>
      <c r="AJ43" s="162"/>
      <c r="AK43" s="161"/>
      <c r="AL43" s="161"/>
      <c r="AM43" s="163"/>
      <c r="AN43" s="162"/>
      <c r="AO43" s="161"/>
      <c r="AP43" s="161"/>
      <c r="AQ43" s="161"/>
      <c r="AR43" s="161"/>
      <c r="AS43" s="161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</row>
    <row r="45" customFormat="false" ht="12.75" hidden="false" customHeight="false" outlineLevel="0" collapsed="false">
      <c r="A45" s="124" t="n">
        <f aca="false">+A38</f>
        <v>37103</v>
      </c>
      <c r="B45" s="9"/>
      <c r="C45" s="9"/>
      <c r="D45" s="125" t="n">
        <v>448413.9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4"/>
      <c r="AG45" s="164"/>
      <c r="AH45" s="161"/>
      <c r="AI45" s="165"/>
      <c r="AJ45" s="164"/>
      <c r="AK45" s="164"/>
      <c r="AL45" s="161"/>
      <c r="AM45" s="165"/>
      <c r="AN45" s="164"/>
      <c r="AO45" s="164"/>
      <c r="AP45" s="161"/>
      <c r="AQ45" s="161"/>
      <c r="AR45" s="161"/>
      <c r="AS45" s="161"/>
    </row>
    <row r="46" customFormat="false" ht="12.75" hidden="false" customHeight="false" outlineLevel="0" collapsed="false">
      <c r="A46" s="124" t="n">
        <f aca="false">+A40</f>
        <v>37132</v>
      </c>
      <c r="B46" s="9"/>
      <c r="C46" s="9"/>
      <c r="D46" s="126" t="n">
        <f aca="false">+F35*'by type'!J4</f>
        <v>52394.55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6"/>
      <c r="AI46" s="167"/>
      <c r="AJ46" s="108"/>
      <c r="AK46" s="108"/>
      <c r="AL46" s="166"/>
      <c r="AM46" s="167"/>
      <c r="AN46" s="108"/>
      <c r="AO46" s="108"/>
      <c r="AP46" s="166"/>
      <c r="AQ46" s="161"/>
      <c r="AR46" s="161"/>
      <c r="AS46" s="161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500808.45</v>
      </c>
      <c r="F47" s="168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6"/>
      <c r="AI47" s="167"/>
      <c r="AJ47" s="108"/>
      <c r="AK47" s="108"/>
      <c r="AL47" s="166"/>
      <c r="AM47" s="167"/>
      <c r="AN47" s="108"/>
      <c r="AO47" s="108"/>
      <c r="AP47" s="166"/>
      <c r="AQ47" s="161"/>
      <c r="AR47" s="161"/>
      <c r="AS47" s="161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6"/>
      <c r="AI48" s="167"/>
      <c r="AJ48" s="108"/>
      <c r="AK48" s="108"/>
      <c r="AL48" s="166"/>
      <c r="AM48" s="167"/>
      <c r="AN48" s="108"/>
      <c r="AO48" s="108"/>
      <c r="AP48" s="166"/>
      <c r="AQ48" s="161"/>
      <c r="AR48" s="161"/>
      <c r="AS48" s="161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6"/>
      <c r="AI49" s="167"/>
      <c r="AJ49" s="108"/>
      <c r="AK49" s="108"/>
      <c r="AL49" s="166"/>
      <c r="AM49" s="167"/>
      <c r="AN49" s="108"/>
      <c r="AO49" s="108"/>
      <c r="AP49" s="166"/>
      <c r="AQ49" s="161"/>
      <c r="AR49" s="161"/>
      <c r="AS49" s="161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6"/>
      <c r="AI50" s="167"/>
      <c r="AJ50" s="108"/>
      <c r="AK50" s="108"/>
      <c r="AL50" s="166"/>
      <c r="AM50" s="167"/>
      <c r="AN50" s="108"/>
      <c r="AO50" s="108"/>
      <c r="AP50" s="166"/>
      <c r="AQ50" s="161"/>
      <c r="AR50" s="161"/>
      <c r="AS50" s="161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6"/>
      <c r="AI51" s="167"/>
      <c r="AJ51" s="108"/>
      <c r="AK51" s="108"/>
      <c r="AL51" s="166"/>
      <c r="AM51" s="167"/>
      <c r="AN51" s="108"/>
      <c r="AO51" s="108"/>
      <c r="AP51" s="166"/>
      <c r="AQ51" s="161"/>
      <c r="AR51" s="161"/>
      <c r="AS51" s="161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6"/>
      <c r="AI52" s="167"/>
      <c r="AJ52" s="108"/>
      <c r="AK52" s="108"/>
      <c r="AL52" s="166"/>
      <c r="AM52" s="167"/>
      <c r="AN52" s="108"/>
      <c r="AO52" s="108"/>
      <c r="AP52" s="166"/>
      <c r="AQ52" s="161"/>
      <c r="AR52" s="161"/>
      <c r="AS52" s="161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6"/>
      <c r="AI53" s="167"/>
      <c r="AJ53" s="108"/>
      <c r="AK53" s="108"/>
      <c r="AL53" s="166"/>
      <c r="AM53" s="167"/>
      <c r="AN53" s="108"/>
      <c r="AO53" s="108"/>
      <c r="AP53" s="166"/>
      <c r="AQ53" s="161"/>
      <c r="AR53" s="161"/>
      <c r="AS53" s="161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6"/>
      <c r="AI54" s="167"/>
      <c r="AJ54" s="108"/>
      <c r="AK54" s="108"/>
      <c r="AL54" s="166"/>
      <c r="AM54" s="167"/>
      <c r="AN54" s="108"/>
      <c r="AO54" s="108"/>
      <c r="AP54" s="166"/>
      <c r="AQ54" s="161"/>
      <c r="AR54" s="161"/>
      <c r="AS54" s="161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6"/>
      <c r="AI55" s="167"/>
      <c r="AJ55" s="108"/>
      <c r="AK55" s="108"/>
      <c r="AL55" s="166"/>
      <c r="AM55" s="167"/>
      <c r="AN55" s="108"/>
      <c r="AO55" s="108"/>
      <c r="AP55" s="166"/>
      <c r="AQ55" s="161"/>
      <c r="AR55" s="161"/>
      <c r="AS55" s="161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6"/>
      <c r="AI56" s="167"/>
      <c r="AJ56" s="108"/>
      <c r="AK56" s="108"/>
      <c r="AL56" s="166"/>
      <c r="AM56" s="167"/>
      <c r="AN56" s="108"/>
      <c r="AO56" s="108"/>
      <c r="AP56" s="166"/>
      <c r="AQ56" s="161"/>
      <c r="AR56" s="161"/>
      <c r="AS56" s="161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6"/>
      <c r="AI57" s="167"/>
      <c r="AJ57" s="108"/>
      <c r="AK57" s="108"/>
      <c r="AL57" s="166"/>
      <c r="AM57" s="167"/>
      <c r="AN57" s="108"/>
      <c r="AO57" s="108"/>
      <c r="AP57" s="166"/>
      <c r="AQ57" s="161"/>
      <c r="AR57" s="161"/>
      <c r="AS57" s="161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6"/>
      <c r="AI58" s="167"/>
      <c r="AJ58" s="108"/>
      <c r="AK58" s="108"/>
      <c r="AL58" s="166"/>
      <c r="AM58" s="167"/>
      <c r="AN58" s="108"/>
      <c r="AO58" s="108"/>
      <c r="AP58" s="166"/>
      <c r="AQ58" s="161"/>
      <c r="AR58" s="161"/>
      <c r="AS58" s="161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6"/>
      <c r="AI59" s="167"/>
      <c r="AJ59" s="108"/>
      <c r="AK59" s="108"/>
      <c r="AL59" s="166"/>
      <c r="AM59" s="167"/>
      <c r="AN59" s="108"/>
      <c r="AO59" s="108"/>
      <c r="AP59" s="166"/>
      <c r="AQ59" s="161"/>
      <c r="AR59" s="161"/>
      <c r="AS59" s="161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6"/>
      <c r="AI60" s="167"/>
      <c r="AJ60" s="108"/>
      <c r="AK60" s="108"/>
      <c r="AL60" s="166"/>
      <c r="AM60" s="167"/>
      <c r="AN60" s="108"/>
      <c r="AO60" s="108"/>
      <c r="AP60" s="166"/>
      <c r="AQ60" s="161"/>
      <c r="AR60" s="161"/>
      <c r="AS60" s="161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6"/>
      <c r="AI61" s="167"/>
      <c r="AJ61" s="108"/>
      <c r="AK61" s="108"/>
      <c r="AL61" s="166"/>
      <c r="AM61" s="167"/>
      <c r="AN61" s="108"/>
      <c r="AO61" s="108"/>
      <c r="AP61" s="166"/>
      <c r="AQ61" s="161"/>
      <c r="AR61" s="161"/>
      <c r="AS61" s="161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6"/>
      <c r="AI62" s="167"/>
      <c r="AJ62" s="108"/>
      <c r="AK62" s="108"/>
      <c r="AL62" s="166"/>
      <c r="AM62" s="167"/>
      <c r="AN62" s="108"/>
      <c r="AO62" s="108"/>
      <c r="AP62" s="166"/>
      <c r="AQ62" s="161"/>
      <c r="AR62" s="161"/>
      <c r="AS62" s="161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6"/>
      <c r="AI63" s="167"/>
      <c r="AJ63" s="108"/>
      <c r="AK63" s="108"/>
      <c r="AL63" s="166"/>
      <c r="AM63" s="167"/>
      <c r="AN63" s="108"/>
      <c r="AO63" s="108"/>
      <c r="AP63" s="166"/>
      <c r="AQ63" s="161"/>
      <c r="AR63" s="161"/>
      <c r="AS63" s="161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6"/>
      <c r="AI64" s="167"/>
      <c r="AJ64" s="108"/>
      <c r="AK64" s="108"/>
      <c r="AL64" s="166"/>
      <c r="AM64" s="167"/>
      <c r="AN64" s="108"/>
      <c r="AO64" s="108"/>
      <c r="AP64" s="166"/>
      <c r="AQ64" s="161"/>
      <c r="AR64" s="161"/>
      <c r="AS64" s="161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6"/>
      <c r="AI65" s="167"/>
      <c r="AJ65" s="108"/>
      <c r="AK65" s="108"/>
      <c r="AL65" s="166"/>
      <c r="AM65" s="167"/>
      <c r="AN65" s="108"/>
      <c r="AO65" s="108"/>
      <c r="AP65" s="166"/>
      <c r="AQ65" s="161"/>
      <c r="AR65" s="161"/>
      <c r="AS65" s="161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6"/>
      <c r="AI66" s="167"/>
      <c r="AJ66" s="108"/>
      <c r="AK66" s="108"/>
      <c r="AL66" s="166"/>
      <c r="AM66" s="167"/>
      <c r="AN66" s="108"/>
      <c r="AO66" s="108"/>
      <c r="AP66" s="166"/>
      <c r="AQ66" s="161"/>
      <c r="AR66" s="161"/>
      <c r="AS66" s="161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6"/>
      <c r="AI67" s="167"/>
      <c r="AJ67" s="108"/>
      <c r="AK67" s="108"/>
      <c r="AL67" s="166"/>
      <c r="AM67" s="167"/>
      <c r="AN67" s="108"/>
      <c r="AO67" s="108"/>
      <c r="AP67" s="166"/>
      <c r="AQ67" s="161"/>
      <c r="AR67" s="161"/>
      <c r="AS67" s="161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6"/>
      <c r="AI68" s="167"/>
      <c r="AJ68" s="108"/>
      <c r="AK68" s="108"/>
      <c r="AL68" s="166"/>
      <c r="AM68" s="167"/>
      <c r="AN68" s="108"/>
      <c r="AO68" s="108"/>
      <c r="AP68" s="166"/>
      <c r="AQ68" s="161"/>
      <c r="AR68" s="161"/>
      <c r="AS68" s="161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6"/>
      <c r="AI69" s="167"/>
      <c r="AJ69" s="108"/>
      <c r="AK69" s="108"/>
      <c r="AL69" s="166"/>
      <c r="AM69" s="167"/>
      <c r="AN69" s="108"/>
      <c r="AO69" s="108"/>
      <c r="AP69" s="166"/>
      <c r="AQ69" s="161"/>
      <c r="AR69" s="161"/>
      <c r="AS69" s="161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6"/>
      <c r="AI70" s="167"/>
      <c r="AJ70" s="108"/>
      <c r="AK70" s="108"/>
      <c r="AL70" s="166"/>
      <c r="AM70" s="167"/>
      <c r="AN70" s="108"/>
      <c r="AO70" s="108"/>
      <c r="AP70" s="166"/>
      <c r="AQ70" s="161"/>
      <c r="AR70" s="161"/>
      <c r="AS70" s="161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6"/>
      <c r="AI71" s="167"/>
      <c r="AJ71" s="108"/>
      <c r="AK71" s="108"/>
      <c r="AL71" s="166"/>
      <c r="AM71" s="167"/>
      <c r="AN71" s="108"/>
      <c r="AO71" s="108"/>
      <c r="AP71" s="166"/>
      <c r="AQ71" s="161"/>
      <c r="AR71" s="161"/>
      <c r="AS71" s="161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6"/>
      <c r="AI72" s="167"/>
      <c r="AJ72" s="108"/>
      <c r="AK72" s="108"/>
      <c r="AL72" s="166"/>
      <c r="AM72" s="167"/>
      <c r="AN72" s="108"/>
      <c r="AO72" s="108"/>
      <c r="AP72" s="166"/>
      <c r="AQ72" s="161"/>
      <c r="AR72" s="161"/>
      <c r="AS72" s="161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6"/>
      <c r="AI73" s="167"/>
      <c r="AJ73" s="108"/>
      <c r="AK73" s="108"/>
      <c r="AL73" s="166"/>
      <c r="AM73" s="167"/>
      <c r="AN73" s="108"/>
      <c r="AO73" s="108"/>
      <c r="AP73" s="166"/>
      <c r="AQ73" s="161"/>
      <c r="AR73" s="161"/>
      <c r="AS73" s="161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6"/>
      <c r="AI74" s="167"/>
      <c r="AJ74" s="108"/>
      <c r="AK74" s="108"/>
      <c r="AL74" s="166"/>
      <c r="AM74" s="167"/>
      <c r="AN74" s="108"/>
      <c r="AO74" s="108"/>
      <c r="AP74" s="166"/>
      <c r="AQ74" s="161"/>
      <c r="AR74" s="161"/>
      <c r="AS74" s="161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6"/>
      <c r="AI75" s="167"/>
      <c r="AJ75" s="108"/>
      <c r="AK75" s="108"/>
      <c r="AL75" s="166"/>
      <c r="AM75" s="167"/>
      <c r="AN75" s="108"/>
      <c r="AO75" s="108"/>
      <c r="AP75" s="166"/>
      <c r="AQ75" s="161"/>
      <c r="AR75" s="161"/>
      <c r="AS75" s="161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6"/>
      <c r="AI76" s="167"/>
      <c r="AJ76" s="108"/>
      <c r="AK76" s="108"/>
      <c r="AL76" s="166"/>
      <c r="AM76" s="167"/>
      <c r="AN76" s="108"/>
      <c r="AO76" s="108"/>
      <c r="AP76" s="166"/>
      <c r="AQ76" s="161"/>
      <c r="AR76" s="161"/>
      <c r="AS76" s="161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7"/>
      <c r="AJ77" s="108"/>
      <c r="AK77" s="108"/>
      <c r="AL77" s="108"/>
      <c r="AM77" s="167"/>
      <c r="AN77" s="108"/>
      <c r="AO77" s="108"/>
      <c r="AP77" s="108"/>
      <c r="AQ77" s="161"/>
      <c r="AR77" s="161"/>
      <c r="AS77" s="161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1"/>
      <c r="AG78" s="166"/>
      <c r="AH78" s="169"/>
      <c r="AI78" s="170"/>
      <c r="AJ78" s="161"/>
      <c r="AK78" s="166"/>
      <c r="AL78" s="169"/>
      <c r="AM78" s="170"/>
      <c r="AN78" s="161"/>
      <c r="AO78" s="166"/>
      <c r="AP78" s="169"/>
      <c r="AQ78" s="161"/>
      <c r="AR78" s="161"/>
      <c r="AS78" s="161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1"/>
      <c r="AG79" s="161"/>
      <c r="AH79" s="108"/>
      <c r="AI79" s="161"/>
      <c r="AJ79" s="161"/>
      <c r="AK79" s="161"/>
      <c r="AL79" s="108"/>
      <c r="AM79" s="161"/>
      <c r="AN79" s="161"/>
      <c r="AO79" s="161"/>
      <c r="AP79" s="108"/>
      <c r="AQ79" s="161"/>
      <c r="AR79" s="161"/>
      <c r="AS79" s="161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1"/>
      <c r="AG80" s="161"/>
      <c r="AH80" s="108"/>
      <c r="AI80" s="171"/>
      <c r="AJ80" s="161"/>
      <c r="AK80" s="161"/>
      <c r="AL80" s="108"/>
      <c r="AM80" s="171"/>
      <c r="AN80" s="161"/>
      <c r="AO80" s="161"/>
      <c r="AP80" s="108"/>
      <c r="AQ80" s="161"/>
      <c r="AR80" s="161"/>
      <c r="AS80" s="161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1"/>
      <c r="AG81" s="161"/>
      <c r="AH81" s="108"/>
      <c r="AI81" s="169"/>
      <c r="AJ81" s="161"/>
      <c r="AK81" s="161"/>
      <c r="AL81" s="108"/>
      <c r="AM81" s="169"/>
      <c r="AN81" s="161"/>
      <c r="AO81" s="161"/>
      <c r="AP81" s="108"/>
      <c r="AQ81" s="161"/>
      <c r="AR81" s="161"/>
      <c r="AS81" s="161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1"/>
      <c r="AG82" s="161"/>
      <c r="AH82" s="108"/>
      <c r="AI82" s="171"/>
      <c r="AJ82" s="161"/>
      <c r="AK82" s="161"/>
      <c r="AL82" s="108"/>
      <c r="AM82" s="171"/>
      <c r="AN82" s="161"/>
      <c r="AO82" s="161"/>
      <c r="AP82" s="108"/>
      <c r="AQ82" s="161"/>
      <c r="AR82" s="161"/>
      <c r="AS82" s="161"/>
    </row>
    <row r="83" customFormat="false" ht="12.75" hidden="false" customHeight="false" outlineLevel="0" collapsed="false">
      <c r="AE83" s="9"/>
      <c r="AF83" s="161"/>
      <c r="AG83" s="161"/>
      <c r="AH83" s="161"/>
      <c r="AI83" s="161"/>
      <c r="AJ83" s="161"/>
      <c r="AK83" s="161"/>
      <c r="AL83" s="161"/>
      <c r="AM83" s="161"/>
      <c r="AN83" s="161"/>
      <c r="AO83" s="161"/>
      <c r="AP83" s="161"/>
      <c r="AQ83" s="161"/>
      <c r="AR83" s="161"/>
      <c r="AS83" s="161"/>
    </row>
    <row r="84" customFormat="false" ht="12.75" hidden="false" customHeight="false" outlineLevel="0" collapsed="false">
      <c r="AE84" s="9"/>
      <c r="AF84" s="161"/>
      <c r="AG84" s="161"/>
      <c r="AH84" s="161"/>
      <c r="AI84" s="161"/>
      <c r="AJ84" s="161"/>
      <c r="AK84" s="161"/>
      <c r="AL84" s="161"/>
      <c r="AM84" s="161"/>
      <c r="AN84" s="161"/>
      <c r="AO84" s="161"/>
      <c r="AP84" s="161"/>
      <c r="AQ84" s="161"/>
      <c r="AR84" s="161"/>
      <c r="AS84" s="161"/>
    </row>
    <row r="85" customFormat="false" ht="12.75" hidden="false" customHeight="false" outlineLevel="0" collapsed="false">
      <c r="AF85" s="161"/>
      <c r="AG85" s="161"/>
      <c r="AH85" s="161"/>
      <c r="AI85" s="161"/>
      <c r="AJ85" s="161"/>
      <c r="AK85" s="161"/>
      <c r="AL85" s="161"/>
      <c r="AM85" s="161"/>
      <c r="AN85" s="161"/>
      <c r="AO85" s="161"/>
      <c r="AP85" s="161"/>
      <c r="AQ85" s="161"/>
      <c r="AR85" s="161"/>
      <c r="AS85" s="161"/>
    </row>
    <row r="86" customFormat="false" ht="12.75" hidden="false" customHeight="false" outlineLevel="0" collapsed="false">
      <c r="AF86" s="161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</row>
    <row r="87" customFormat="false" ht="12.75" hidden="false" customHeight="false" outlineLevel="0" collapsed="false">
      <c r="AF87" s="161"/>
      <c r="AG87" s="161"/>
      <c r="AH87" s="161"/>
      <c r="AI87" s="161"/>
      <c r="AJ87" s="161"/>
      <c r="AK87" s="161"/>
      <c r="AL87" s="161"/>
      <c r="AM87" s="161"/>
      <c r="AN87" s="161"/>
      <c r="AO87" s="161"/>
      <c r="AP87" s="161"/>
      <c r="AQ87" s="161"/>
      <c r="AR87" s="161"/>
      <c r="AS87" s="161"/>
    </row>
    <row r="88" customFormat="false" ht="12.75" hidden="false" customHeight="false" outlineLevel="0" collapsed="false">
      <c r="AF88" s="161"/>
      <c r="AG88" s="161"/>
      <c r="AH88" s="161"/>
      <c r="AI88" s="161"/>
      <c r="AJ88" s="161"/>
      <c r="AK88" s="161"/>
      <c r="AL88" s="161"/>
      <c r="AM88" s="161"/>
      <c r="AN88" s="161"/>
      <c r="AO88" s="161"/>
      <c r="AP88" s="161"/>
      <c r="AQ88" s="161"/>
      <c r="AR88" s="161"/>
      <c r="AS88" s="161"/>
    </row>
    <row r="89" customFormat="false" ht="12.75" hidden="false" customHeight="false" outlineLevel="0" collapsed="false"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</row>
    <row r="90" customFormat="false" ht="12.75" hidden="false" customHeight="false" outlineLevel="0" collapsed="false">
      <c r="AF90" s="161"/>
      <c r="AG90" s="161"/>
      <c r="AH90" s="161"/>
      <c r="AI90" s="161"/>
      <c r="AJ90" s="161"/>
      <c r="AK90" s="161"/>
      <c r="AL90" s="161"/>
      <c r="AM90" s="161"/>
      <c r="AN90" s="161"/>
      <c r="AO90" s="161"/>
      <c r="AP90" s="161"/>
      <c r="AQ90" s="161"/>
      <c r="AR90" s="161"/>
      <c r="AS90" s="161"/>
    </row>
    <row r="91" customFormat="false" ht="12.75" hidden="false" customHeight="false" outlineLevel="0" collapsed="false">
      <c r="AF91" s="161"/>
      <c r="AG91" s="161"/>
      <c r="AH91" s="161"/>
      <c r="AI91" s="161"/>
      <c r="AJ91" s="161"/>
      <c r="AK91" s="161"/>
      <c r="AL91" s="161"/>
      <c r="AM91" s="161"/>
      <c r="AN91" s="161"/>
      <c r="AO91" s="161"/>
      <c r="AP91" s="161"/>
      <c r="AQ91" s="161"/>
      <c r="AR91" s="161"/>
      <c r="AS91" s="161"/>
    </row>
    <row r="92" customFormat="false" ht="12.75" hidden="false" customHeight="false" outlineLevel="0" collapsed="false">
      <c r="AF92" s="161"/>
      <c r="AG92" s="161"/>
      <c r="AH92" s="161"/>
      <c r="AI92" s="161"/>
      <c r="AJ92" s="161"/>
      <c r="AK92" s="161"/>
      <c r="AL92" s="161"/>
      <c r="AM92" s="161"/>
      <c r="AN92" s="161"/>
      <c r="AO92" s="161"/>
      <c r="AP92" s="161"/>
      <c r="AQ92" s="161"/>
      <c r="AR92" s="161"/>
      <c r="AS92" s="161"/>
    </row>
    <row r="93" customFormat="false" ht="12.75" hidden="false" customHeight="false" outlineLevel="0" collapsed="false">
      <c r="AF93" s="161"/>
      <c r="AG93" s="161"/>
      <c r="AH93" s="161"/>
      <c r="AI93" s="161"/>
      <c r="AJ93" s="161"/>
      <c r="AK93" s="161"/>
      <c r="AL93" s="161"/>
      <c r="AM93" s="161"/>
      <c r="AN93" s="161"/>
      <c r="AO93" s="161"/>
      <c r="AP93" s="161"/>
      <c r="AQ93" s="161"/>
      <c r="AR93" s="161"/>
      <c r="AS93" s="161"/>
    </row>
    <row r="94" customFormat="false" ht="12.75" hidden="false" customHeight="false" outlineLevel="0" collapsed="false"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1"/>
    </row>
    <row r="95" customFormat="false" ht="12.75" hidden="false" customHeight="false" outlineLevel="0" collapsed="false">
      <c r="AF95" s="161"/>
      <c r="AG95" s="161"/>
      <c r="AH95" s="161"/>
      <c r="AI95" s="161"/>
      <c r="AJ95" s="161"/>
      <c r="AK95" s="161"/>
      <c r="AL95" s="161"/>
      <c r="AM95" s="161"/>
      <c r="AN95" s="161"/>
      <c r="AO95" s="161"/>
      <c r="AP95" s="161"/>
      <c r="AQ95" s="161"/>
      <c r="AR95" s="161"/>
      <c r="AS95" s="161"/>
    </row>
    <row r="96" customFormat="false" ht="12.75" hidden="false" customHeight="false" outlineLevel="0" collapsed="false">
      <c r="AF96" s="161"/>
      <c r="AG96" s="161"/>
      <c r="AH96" s="161"/>
      <c r="AI96" s="161"/>
      <c r="AJ96" s="161"/>
      <c r="AK96" s="161"/>
      <c r="AL96" s="161"/>
      <c r="AM96" s="161"/>
      <c r="AN96" s="161"/>
      <c r="AO96" s="161"/>
      <c r="AP96" s="161"/>
      <c r="AQ96" s="161"/>
      <c r="AR96" s="161"/>
      <c r="AS96" s="161"/>
    </row>
    <row r="97" customFormat="false" ht="12.75" hidden="false" customHeight="false" outlineLevel="0" collapsed="false">
      <c r="AF97" s="161"/>
      <c r="AG97" s="161"/>
      <c r="AH97" s="161"/>
      <c r="AI97" s="161"/>
      <c r="AJ97" s="161"/>
      <c r="AK97" s="161"/>
      <c r="AL97" s="161"/>
      <c r="AM97" s="161"/>
      <c r="AN97" s="161"/>
      <c r="AO97" s="161"/>
      <c r="AP97" s="161"/>
      <c r="AQ97" s="161"/>
      <c r="AR97" s="161"/>
      <c r="AS97" s="161"/>
    </row>
    <row r="98" customFormat="false" ht="12.75" hidden="false" customHeight="false" outlineLevel="0" collapsed="false">
      <c r="AF98" s="161"/>
      <c r="AG98" s="161"/>
      <c r="AH98" s="161"/>
      <c r="AI98" s="161"/>
      <c r="AJ98" s="161"/>
      <c r="AK98" s="161"/>
      <c r="AL98" s="161"/>
      <c r="AM98" s="161"/>
      <c r="AN98" s="161"/>
      <c r="AO98" s="161"/>
      <c r="AP98" s="161"/>
      <c r="AQ98" s="161"/>
      <c r="AR98" s="161"/>
      <c r="AS98" s="161"/>
    </row>
    <row r="99" customFormat="false" ht="12.75" hidden="false" customHeight="false" outlineLevel="0" collapsed="false"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</row>
    <row r="100" customFormat="false" ht="12.75" hidden="false" customHeight="false" outlineLevel="0" collapsed="false">
      <c r="AF100" s="161"/>
      <c r="AG100" s="161"/>
      <c r="AH100" s="161"/>
      <c r="AI100" s="161"/>
      <c r="AJ100" s="161"/>
      <c r="AK100" s="161"/>
      <c r="AL100" s="161"/>
      <c r="AM100" s="161"/>
      <c r="AN100" s="161"/>
      <c r="AO100" s="161"/>
      <c r="AP100" s="161"/>
      <c r="AQ100" s="161"/>
      <c r="AR100" s="161"/>
      <c r="AS100" s="161"/>
    </row>
    <row r="101" customFormat="false" ht="12.75" hidden="false" customHeight="false" outlineLevel="0" collapsed="false">
      <c r="AF101" s="161"/>
      <c r="AG101" s="161"/>
      <c r="AH101" s="161"/>
      <c r="AI101" s="161"/>
      <c r="AJ101" s="161"/>
      <c r="AK101" s="161"/>
      <c r="AL101" s="161"/>
      <c r="AM101" s="161"/>
      <c r="AN101" s="161"/>
      <c r="AO101" s="161"/>
      <c r="AP101" s="161"/>
      <c r="AQ101" s="161"/>
      <c r="AR101" s="161"/>
      <c r="AS101" s="161"/>
    </row>
    <row r="102" customFormat="false" ht="12.75" hidden="false" customHeight="false" outlineLevel="0" collapsed="false">
      <c r="AF102" s="161"/>
      <c r="AG102" s="161"/>
      <c r="AH102" s="161"/>
      <c r="AI102" s="161"/>
      <c r="AJ102" s="161"/>
      <c r="AK102" s="161"/>
      <c r="AL102" s="161"/>
      <c r="AM102" s="161"/>
      <c r="AN102" s="161"/>
      <c r="AO102" s="161"/>
      <c r="AP102" s="161"/>
      <c r="AQ102" s="161"/>
      <c r="AR102" s="161"/>
      <c r="AS102" s="161"/>
    </row>
    <row r="103" customFormat="false" ht="12.75" hidden="false" customHeight="false" outlineLevel="0" collapsed="false">
      <c r="AF103" s="161"/>
      <c r="AG103" s="161"/>
      <c r="AH103" s="161"/>
      <c r="AI103" s="161"/>
      <c r="AJ103" s="161"/>
      <c r="AK103" s="161"/>
      <c r="AL103" s="161"/>
      <c r="AM103" s="161"/>
      <c r="AN103" s="161"/>
      <c r="AO103" s="161"/>
      <c r="AP103" s="161"/>
      <c r="AQ103" s="161"/>
      <c r="AR103" s="161"/>
      <c r="AS103" s="161"/>
    </row>
    <row r="104" customFormat="false" ht="12.75" hidden="false" customHeight="false" outlineLevel="0" collapsed="false">
      <c r="AF104" s="161"/>
      <c r="AG104" s="161"/>
      <c r="AH104" s="161"/>
      <c r="AI104" s="161"/>
      <c r="AJ104" s="161"/>
      <c r="AK104" s="161"/>
      <c r="AL104" s="161"/>
      <c r="AM104" s="161"/>
      <c r="AN104" s="161"/>
      <c r="AO104" s="161"/>
      <c r="AP104" s="161"/>
      <c r="AQ104" s="161"/>
      <c r="AR104" s="161"/>
      <c r="AS104" s="161"/>
    </row>
    <row r="105" customFormat="false" ht="12.75" hidden="false" customHeight="false" outlineLevel="0" collapsed="false"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31" activeCellId="3" sqref="E38 C43 H38 D3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4" t="s">
        <v>123</v>
      </c>
      <c r="E2" s="100"/>
      <c r="F2" s="144" t="s">
        <v>124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114</v>
      </c>
      <c r="B3" s="101" t="s">
        <v>115</v>
      </c>
      <c r="C3" s="145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I3" s="172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-132997</v>
      </c>
      <c r="C4" s="108" t="n">
        <v>-79207</v>
      </c>
      <c r="D4" s="108" t="n">
        <v>-39109</v>
      </c>
      <c r="E4" s="108" t="n">
        <v>-92874</v>
      </c>
      <c r="F4" s="108"/>
      <c r="G4" s="108"/>
      <c r="H4" s="108" t="n">
        <f aca="false">+G4+E4+C4-F4-D4-B4</f>
        <v>25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-112568</v>
      </c>
      <c r="C5" s="108" t="n">
        <v>-53005</v>
      </c>
      <c r="D5" s="108" t="n">
        <v>-40001</v>
      </c>
      <c r="E5" s="108" t="n">
        <v>-99950</v>
      </c>
      <c r="F5" s="108"/>
      <c r="G5" s="108"/>
      <c r="H5" s="108" t="n">
        <f aca="false">+G5+E5+C5-F5-D5-B5</f>
        <v>-386</v>
      </c>
      <c r="I5" s="108"/>
      <c r="J5" s="117"/>
      <c r="K5" s="173"/>
      <c r="L5" s="5"/>
      <c r="M5" s="5"/>
      <c r="N5" s="174"/>
      <c r="O5" s="175" t="s">
        <v>125</v>
      </c>
      <c r="P5" s="174"/>
      <c r="Q5" s="19"/>
    </row>
    <row r="6" customFormat="false" ht="12.75" hidden="false" customHeight="false" outlineLevel="0" collapsed="false">
      <c r="A6" s="146" t="n">
        <v>3</v>
      </c>
      <c r="B6" s="108" t="n">
        <v>-144086</v>
      </c>
      <c r="C6" s="108" t="n">
        <v>-117734</v>
      </c>
      <c r="D6" s="108" t="n">
        <v>-40000</v>
      </c>
      <c r="E6" s="108" t="n">
        <v>-65000</v>
      </c>
      <c r="F6" s="108"/>
      <c r="G6" s="108"/>
      <c r="H6" s="108" t="n">
        <f aca="false">+G6+E6+C6-F6-D6-B6</f>
        <v>1352</v>
      </c>
      <c r="I6" s="108"/>
      <c r="J6" s="117"/>
      <c r="K6" s="173" t="s">
        <v>117</v>
      </c>
      <c r="L6" s="176" t="s">
        <v>115</v>
      </c>
      <c r="M6" s="176" t="s">
        <v>116</v>
      </c>
      <c r="N6" s="177" t="s">
        <v>118</v>
      </c>
      <c r="O6" s="175" t="s">
        <v>119</v>
      </c>
      <c r="P6" s="174" t="s">
        <v>120</v>
      </c>
      <c r="Q6" s="19"/>
    </row>
    <row r="7" customFormat="false" ht="12.75" hidden="false" customHeight="false" outlineLevel="0" collapsed="false">
      <c r="A7" s="146" t="n">
        <v>4</v>
      </c>
      <c r="B7" s="108" t="n">
        <v>-151514</v>
      </c>
      <c r="C7" s="108" t="n">
        <v>-150002</v>
      </c>
      <c r="D7" s="108" t="n">
        <v>-55771</v>
      </c>
      <c r="E7" s="108" t="n">
        <v>-56162</v>
      </c>
      <c r="F7" s="108"/>
      <c r="G7" s="108"/>
      <c r="H7" s="108" t="n">
        <f aca="false">+G7+E7+C7-F7-D7-B7</f>
        <v>1121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-151656</v>
      </c>
      <c r="C8" s="108" t="n">
        <v>-150001</v>
      </c>
      <c r="D8" s="108" t="n">
        <v>-55077</v>
      </c>
      <c r="E8" s="108" t="n">
        <v>-56162</v>
      </c>
      <c r="F8" s="108"/>
      <c r="G8" s="108"/>
      <c r="H8" s="108" t="n">
        <f aca="false">+G8+E8+C8-F8-D8-B8</f>
        <v>570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 t="n">
        <v>-153786</v>
      </c>
      <c r="C9" s="108" t="n">
        <v>-150001</v>
      </c>
      <c r="D9" s="108" t="n">
        <v>-52179</v>
      </c>
      <c r="E9" s="108" t="n">
        <v>-56162</v>
      </c>
      <c r="F9" s="108"/>
      <c r="G9" s="108"/>
      <c r="H9" s="108" t="n">
        <f aca="false">+G9+E9+C9-F9-D9-B9</f>
        <v>-198</v>
      </c>
      <c r="I9" s="108"/>
      <c r="J9" s="117"/>
      <c r="K9" s="173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5" t="n">
        <v>8.21</v>
      </c>
      <c r="P9" s="178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 t="n">
        <v>-138012</v>
      </c>
      <c r="C10" s="108" t="n">
        <v>-58418</v>
      </c>
      <c r="D10" s="108" t="n">
        <v>-1800</v>
      </c>
      <c r="E10" s="108" t="n">
        <v>-79718</v>
      </c>
      <c r="F10" s="108"/>
      <c r="G10" s="108"/>
      <c r="H10" s="108" t="n">
        <f aca="false">+G10+E10+C10-F10-D10-B10</f>
        <v>1676</v>
      </c>
      <c r="I10" s="108"/>
      <c r="J10" s="117"/>
      <c r="K10" s="173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5" t="n">
        <v>5.62</v>
      </c>
      <c r="P10" s="178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 t="n">
        <v>-144890</v>
      </c>
      <c r="C11" s="108" t="n">
        <v>-82115</v>
      </c>
      <c r="D11" s="108" t="n">
        <v>-48170</v>
      </c>
      <c r="E11" s="108" t="n">
        <v>-109950</v>
      </c>
      <c r="F11" s="108"/>
      <c r="G11" s="108"/>
      <c r="H11" s="108" t="n">
        <f aca="false">+G11+E11+C11-F11-D11-B11</f>
        <v>995</v>
      </c>
      <c r="I11" s="108"/>
      <c r="J11" s="117"/>
      <c r="K11" s="173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5" t="n">
        <v>4.98</v>
      </c>
      <c r="P11" s="178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 t="n">
        <v>-123111</v>
      </c>
      <c r="C12" s="108" t="n">
        <v>-64023</v>
      </c>
      <c r="D12" s="108" t="n">
        <v>-1611</v>
      </c>
      <c r="E12" s="108" t="n">
        <v>-59950</v>
      </c>
      <c r="F12" s="108"/>
      <c r="G12" s="108"/>
      <c r="H12" s="108" t="n">
        <f aca="false">+G12+E12+C12-F12-D12-B12</f>
        <v>749</v>
      </c>
      <c r="I12" s="108"/>
      <c r="J12" s="117"/>
      <c r="K12" s="173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5" t="n">
        <v>4.87</v>
      </c>
      <c r="P12" s="178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 t="n">
        <v>-150424</v>
      </c>
      <c r="C13" s="108" t="n">
        <v>-90703</v>
      </c>
      <c r="D13" s="108"/>
      <c r="E13" s="108" t="n">
        <v>-59808</v>
      </c>
      <c r="F13" s="108"/>
      <c r="G13" s="108"/>
      <c r="H13" s="108" t="n">
        <f aca="false">+G13+E13+C13-F13-D13-B13</f>
        <v>-87</v>
      </c>
      <c r="I13" s="108"/>
      <c r="J13" s="117"/>
      <c r="K13" s="173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5" t="n">
        <v>3.82</v>
      </c>
      <c r="P13" s="178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 t="n">
        <v>-159237</v>
      </c>
      <c r="C14" s="108" t="n">
        <v>-138136</v>
      </c>
      <c r="D14" s="108" t="n">
        <v>-58416</v>
      </c>
      <c r="E14" s="108" t="n">
        <v>-79950</v>
      </c>
      <c r="F14" s="108"/>
      <c r="G14" s="108"/>
      <c r="H14" s="108" t="n">
        <f aca="false">+G14+E14+C14-F14-D14-B14</f>
        <v>-433</v>
      </c>
      <c r="I14" s="108"/>
      <c r="J14" s="117"/>
      <c r="K14" s="173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5" t="n">
        <v>3.2</v>
      </c>
      <c r="P14" s="178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 t="n">
        <v>-153130</v>
      </c>
      <c r="C15" s="108" t="n">
        <v>-130080</v>
      </c>
      <c r="D15" s="108" t="n">
        <v>-56945</v>
      </c>
      <c r="E15" s="108" t="n">
        <v>-79950</v>
      </c>
      <c r="F15" s="108"/>
      <c r="G15" s="108"/>
      <c r="H15" s="108" t="n">
        <f aca="false">+G15+E15+C15-F15-D15-B15</f>
        <v>45</v>
      </c>
      <c r="I15" s="108"/>
      <c r="J15" s="117"/>
      <c r="K15" s="173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5" t="n">
        <v>2.77</v>
      </c>
      <c r="P15" s="179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 t="n">
        <v>-136048</v>
      </c>
      <c r="C16" s="108" t="n">
        <v>-141366</v>
      </c>
      <c r="D16" s="108" t="n">
        <v>-105213</v>
      </c>
      <c r="E16" s="108" t="n">
        <v>-100666</v>
      </c>
      <c r="F16" s="108"/>
      <c r="G16" s="108"/>
      <c r="H16" s="108" t="n">
        <f aca="false">+G16+E16+C16-F16-D16-B16</f>
        <v>-771</v>
      </c>
      <c r="I16" s="108"/>
      <c r="J16" s="117"/>
      <c r="K16" s="5"/>
      <c r="L16" s="128"/>
      <c r="M16" s="128"/>
      <c r="N16" s="128"/>
      <c r="O16" s="180"/>
      <c r="P16" s="181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 t="n">
        <v>-141659</v>
      </c>
      <c r="C17" s="108" t="n">
        <v>-117756</v>
      </c>
      <c r="D17" s="108" t="n">
        <v>-48404</v>
      </c>
      <c r="E17" s="108" t="n">
        <v>-72615</v>
      </c>
      <c r="F17" s="108"/>
      <c r="G17" s="108"/>
      <c r="H17" s="108" t="n">
        <f aca="false">+G17+E17+C17-F17-D17-B17</f>
        <v>-308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 t="n">
        <v>-141744</v>
      </c>
      <c r="C18" s="108" t="n">
        <v>-97671</v>
      </c>
      <c r="D18" s="108" t="n">
        <v>-39144</v>
      </c>
      <c r="E18" s="108" t="n">
        <v>-73315</v>
      </c>
      <c r="F18" s="108"/>
      <c r="G18" s="108"/>
      <c r="H18" s="108" t="n">
        <f aca="false">+G18+E18+C18-F18-D18-B18</f>
        <v>9902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 t="n">
        <v>-131618</v>
      </c>
      <c r="C19" s="108" t="n">
        <v>-109589</v>
      </c>
      <c r="D19" s="108" t="n">
        <v>-88744</v>
      </c>
      <c r="E19" s="108" t="n">
        <v>-109950</v>
      </c>
      <c r="F19" s="108"/>
      <c r="G19" s="108"/>
      <c r="H19" s="108" t="n">
        <f aca="false">+G19+E19+C19-F19-D19-B19</f>
        <v>823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 t="n">
        <v>-142840</v>
      </c>
      <c r="C20" s="108" t="n">
        <v>-150006</v>
      </c>
      <c r="D20" s="108" t="n">
        <v>-124297</v>
      </c>
      <c r="E20" s="108" t="n">
        <v>-120000</v>
      </c>
      <c r="F20" s="108"/>
      <c r="G20" s="108"/>
      <c r="H20" s="108" t="n">
        <f aca="false">+G20+E20+C20-F20-D20-B20</f>
        <v>-2869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 t="n">
        <v>-100414</v>
      </c>
      <c r="C21" s="108" t="n">
        <v>-81014</v>
      </c>
      <c r="D21" s="108" t="n">
        <v>-83965</v>
      </c>
      <c r="E21" s="108" t="n">
        <v>-102848</v>
      </c>
      <c r="F21" s="108"/>
      <c r="G21" s="108"/>
      <c r="H21" s="108" t="n">
        <f aca="false">+G21+E21+C21-F21-D21-B21</f>
        <v>517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 t="n">
        <v>-107048</v>
      </c>
      <c r="C22" s="108" t="n">
        <v>-80107</v>
      </c>
      <c r="D22" s="108" t="n">
        <v>-83003</v>
      </c>
      <c r="E22" s="108" t="n">
        <v>-111256</v>
      </c>
      <c r="F22" s="108"/>
      <c r="G22" s="108"/>
      <c r="H22" s="108" t="n">
        <f aca="false">+G22+E22+C22-F22-D22-B22</f>
        <v>-1312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 t="n">
        <v>-119742</v>
      </c>
      <c r="C23" s="108" t="n">
        <v>-81015</v>
      </c>
      <c r="D23" s="108" t="n">
        <v>-57920</v>
      </c>
      <c r="E23" s="108" t="n">
        <v>-97982</v>
      </c>
      <c r="F23" s="108"/>
      <c r="G23" s="108"/>
      <c r="H23" s="108" t="n">
        <f aca="false">+G23+E23+C23-F23-D23-B23</f>
        <v>-1335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 t="n">
        <v>-141966</v>
      </c>
      <c r="C24" s="108" t="n">
        <v>-127453</v>
      </c>
      <c r="D24" s="108" t="n">
        <v>-96866</v>
      </c>
      <c r="E24" s="108" t="n">
        <v>-114950</v>
      </c>
      <c r="F24" s="108"/>
      <c r="G24" s="108"/>
      <c r="H24" s="108" t="n">
        <f aca="false">+G24+E24+C24-F24-D24-B24</f>
        <v>-3571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 t="n">
        <v>-137154</v>
      </c>
      <c r="C25" s="108" t="n">
        <v>-120862</v>
      </c>
      <c r="D25" s="108" t="n">
        <v>-74547</v>
      </c>
      <c r="E25" s="108" t="n">
        <v>-91154</v>
      </c>
      <c r="F25" s="108"/>
      <c r="G25" s="108"/>
      <c r="H25" s="108" t="n">
        <f aca="false">+G25+E25+C25-F25-D25-B25</f>
        <v>-315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 t="n">
        <v>-134417</v>
      </c>
      <c r="C26" s="108" t="n">
        <v>-119653</v>
      </c>
      <c r="D26" s="108" t="n">
        <v>-82490</v>
      </c>
      <c r="E26" s="108" t="n">
        <v>-96940</v>
      </c>
      <c r="F26" s="108"/>
      <c r="G26" s="108"/>
      <c r="H26" s="108" t="n">
        <f aca="false">+G26+E26+C26-F26-D26-B26</f>
        <v>314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 t="n">
        <v>-135500</v>
      </c>
      <c r="C27" s="108" t="n">
        <v>-150005</v>
      </c>
      <c r="D27" s="108" t="n">
        <v>-80514</v>
      </c>
      <c r="E27" s="108" t="n">
        <v>-64929</v>
      </c>
      <c r="F27" s="108"/>
      <c r="G27" s="108"/>
      <c r="H27" s="108" t="n">
        <f aca="false">+G27+E27+C27-F27-D27-B27</f>
        <v>1080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 t="n">
        <v>-135337</v>
      </c>
      <c r="C28" s="108" t="n">
        <v>-95571</v>
      </c>
      <c r="D28" s="108" t="n">
        <v>-68776</v>
      </c>
      <c r="E28" s="108" t="n">
        <v>-107555</v>
      </c>
      <c r="F28" s="108"/>
      <c r="G28" s="108"/>
      <c r="H28" s="108" t="n">
        <f aca="false">+G28+E28+C28-F28-D28-B28</f>
        <v>987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 t="n">
        <v>-134313</v>
      </c>
      <c r="C29" s="108" t="n">
        <v>-95571</v>
      </c>
      <c r="D29" s="108" t="n">
        <v>-71537</v>
      </c>
      <c r="E29" s="108" t="n">
        <v>-110769</v>
      </c>
      <c r="F29" s="108"/>
      <c r="G29" s="108"/>
      <c r="H29" s="108" t="n">
        <f aca="false">+G29+E29+C29-F29-D29-B29</f>
        <v>-490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 t="n">
        <v>-131527</v>
      </c>
      <c r="C30" s="108" t="n">
        <v>-90089</v>
      </c>
      <c r="D30" s="108" t="n">
        <v>-71973</v>
      </c>
      <c r="E30" s="108" t="n">
        <v>-112890</v>
      </c>
      <c r="F30" s="108"/>
      <c r="G30" s="108"/>
      <c r="H30" s="108" t="n">
        <f aca="false">+G30+E30+C30-F30-D30-B30</f>
        <v>521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 t="n">
        <v>-138850</v>
      </c>
      <c r="C31" s="108" t="n">
        <v>-87816</v>
      </c>
      <c r="D31" s="108" t="n">
        <f aca="false">-164546+138850</f>
        <v>-25696</v>
      </c>
      <c r="E31" s="108" t="n">
        <v>-75898</v>
      </c>
      <c r="F31" s="108"/>
      <c r="G31" s="108"/>
      <c r="H31" s="108" t="n">
        <f aca="false">+G31+E31+C31-F31-D31-B31</f>
        <v>832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 t="n">
        <v>-118168</v>
      </c>
      <c r="C32" s="108" t="n">
        <v>-81080</v>
      </c>
      <c r="D32" s="108" t="n">
        <v>-986</v>
      </c>
      <c r="E32" s="108" t="n">
        <v>-38780</v>
      </c>
      <c r="F32" s="108"/>
      <c r="G32" s="108"/>
      <c r="H32" s="108" t="n">
        <f aca="false">+G32+E32+C32-F32-D32-B32</f>
        <v>-706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8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-3943756</v>
      </c>
      <c r="C35" s="148" t="n">
        <f aca="false">SUM(C4:C34)</f>
        <v>-3090049</v>
      </c>
      <c r="D35" s="108" t="n">
        <f aca="false">SUM(D4:D34)</f>
        <v>-1653154</v>
      </c>
      <c r="E35" s="148" t="n">
        <f aca="false">SUM(E4:E34)</f>
        <v>-2498133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8728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2.77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24176.56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2" t="n">
        <v>37103</v>
      </c>
      <c r="F38" s="16"/>
      <c r="G38" s="151"/>
      <c r="H38" s="183" t="n">
        <v>460835.37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37132</v>
      </c>
      <c r="F39" s="16"/>
      <c r="G39" s="16"/>
      <c r="H39" s="131" t="n">
        <f aca="false">+H38+H37</f>
        <v>485011.93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4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4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4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4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126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37103</v>
      </c>
      <c r="E46" s="30" t="n">
        <v>111236</v>
      </c>
      <c r="F46" s="108"/>
      <c r="G46" s="108"/>
      <c r="H46" s="108" t="n">
        <f aca="false">27452*2.81</f>
        <v>77140.12</v>
      </c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37132</v>
      </c>
      <c r="E47" s="37" t="n">
        <f aca="false">+H35</f>
        <v>8728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119964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5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5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5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5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5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5"/>
      <c r="B64" s="108"/>
      <c r="C64" s="108"/>
      <c r="D64" s="186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86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4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4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4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4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4"/>
    </row>
    <row r="216" customFormat="false" ht="11.25" hidden="false" customHeight="false" outlineLevel="0" collapsed="false">
      <c r="J216" s="153"/>
      <c r="K216" s="153"/>
      <c r="L216" s="152"/>
      <c r="M216" s="153"/>
      <c r="N216" s="184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4"/>
    </row>
    <row r="259" customFormat="false" ht="11.25" hidden="false" customHeight="false" outlineLevel="0" collapsed="false">
      <c r="J259" s="153"/>
      <c r="K259" s="153"/>
      <c r="L259" s="152"/>
      <c r="M259" s="153"/>
      <c r="N259" s="18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0" activeCellId="3" sqref="E19 E34 D42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3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0"/>
      <c r="B2" s="157"/>
      <c r="C2" s="108"/>
      <c r="D2" s="108" t="s">
        <v>127</v>
      </c>
      <c r="F2" s="0"/>
      <c r="H2" s="173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128</v>
      </c>
      <c r="D3" s="188" t="s">
        <v>129</v>
      </c>
      <c r="E3" s="100"/>
      <c r="F3" s="188" t="s">
        <v>130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131</v>
      </c>
      <c r="AB3" s="189"/>
      <c r="AC3" s="108"/>
      <c r="AD3" s="108"/>
      <c r="AE3" s="108"/>
      <c r="AF3" s="9"/>
      <c r="AG3" s="19" t="s">
        <v>132</v>
      </c>
      <c r="AH3" s="189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101" t="s">
        <v>115</v>
      </c>
      <c r="E4" s="101" t="s">
        <v>116</v>
      </c>
      <c r="F4" s="101" t="s">
        <v>115</v>
      </c>
      <c r="G4" s="101" t="s">
        <v>116</v>
      </c>
      <c r="H4" s="190" t="s">
        <v>134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f aca="false">-306663-750</f>
        <v>-307413</v>
      </c>
      <c r="E5" s="108" t="n">
        <v>-308597</v>
      </c>
      <c r="F5" s="108"/>
      <c r="G5" s="108"/>
      <c r="H5" s="108" t="n">
        <f aca="false">+E5-D5+C5-B5</f>
        <v>-1184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128</v>
      </c>
      <c r="AB5" s="108"/>
      <c r="AC5" s="108"/>
      <c r="AD5" s="192" t="s">
        <v>135</v>
      </c>
      <c r="AE5" s="192"/>
      <c r="AF5" s="100"/>
      <c r="AG5" s="19" t="s">
        <v>128</v>
      </c>
      <c r="AJ5" s="100" t="s">
        <v>135</v>
      </c>
      <c r="AK5" s="100"/>
      <c r="AL5" s="100"/>
      <c r="AM5" s="19" t="s">
        <v>128</v>
      </c>
      <c r="AO5" s="100" t="s">
        <v>135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f aca="false">-256855-750</f>
        <v>-257605</v>
      </c>
      <c r="E6" s="108" t="n">
        <v>-261199</v>
      </c>
      <c r="F6" s="108"/>
      <c r="G6" s="108"/>
      <c r="H6" s="108" t="n">
        <f aca="false">+E6-D6+C6-B6</f>
        <v>-3594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3" t="s">
        <v>117</v>
      </c>
      <c r="AA6" s="145" t="s">
        <v>136</v>
      </c>
      <c r="AB6" s="145" t="s">
        <v>137</v>
      </c>
      <c r="AC6" s="145" t="s">
        <v>138</v>
      </c>
      <c r="AD6" s="145" t="s">
        <v>136</v>
      </c>
      <c r="AE6" s="145" t="s">
        <v>137</v>
      </c>
      <c r="AF6" s="101" t="s">
        <v>138</v>
      </c>
      <c r="AG6" s="101" t="s">
        <v>136</v>
      </c>
      <c r="AH6" s="145" t="s">
        <v>137</v>
      </c>
      <c r="AI6" s="101" t="s">
        <v>138</v>
      </c>
      <c r="AJ6" s="101" t="s">
        <v>136</v>
      </c>
      <c r="AK6" s="101" t="s">
        <v>137</v>
      </c>
      <c r="AL6" s="101" t="s">
        <v>138</v>
      </c>
      <c r="AM6" s="101" t="s">
        <v>136</v>
      </c>
      <c r="AN6" s="101" t="s">
        <v>137</v>
      </c>
      <c r="AO6" s="101" t="s">
        <v>136</v>
      </c>
      <c r="AP6" s="101" t="s">
        <v>137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f aca="false">-279637-750</f>
        <v>-280387</v>
      </c>
      <c r="E7" s="108" t="n">
        <v>-280376</v>
      </c>
      <c r="F7" s="108"/>
      <c r="G7" s="108"/>
      <c r="H7" s="108" t="n">
        <f aca="false">+E7-D7+C7-B7</f>
        <v>11</v>
      </c>
      <c r="I7" s="113"/>
      <c r="L7" s="194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f aca="false">-263561-750</f>
        <v>-264311</v>
      </c>
      <c r="E8" s="108" t="n">
        <v>-267286</v>
      </c>
      <c r="F8" s="108"/>
      <c r="G8" s="108"/>
      <c r="H8" s="108" t="n">
        <f aca="false">+E8-D8+C8-B8</f>
        <v>-2975</v>
      </c>
      <c r="I8" s="113"/>
      <c r="L8" s="194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f aca="false">-239483-750</f>
        <v>-240233</v>
      </c>
      <c r="E9" s="108" t="n">
        <v>-241704</v>
      </c>
      <c r="F9" s="108"/>
      <c r="G9" s="108"/>
      <c r="H9" s="108" t="n">
        <f aca="false">+E9-D9+C9-B9</f>
        <v>-1471</v>
      </c>
      <c r="I9" s="113"/>
      <c r="L9" s="194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 t="n">
        <f aca="false">-258498-750</f>
        <v>-259248</v>
      </c>
      <c r="E10" s="108" t="n">
        <v>-262660</v>
      </c>
      <c r="F10" s="108"/>
      <c r="G10" s="108"/>
      <c r="H10" s="108" t="n">
        <f aca="false">+E10-D10+C10-B10</f>
        <v>-3412</v>
      </c>
      <c r="I10" s="113"/>
      <c r="L10" s="194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 t="n">
        <f aca="false">-249479-750</f>
        <v>-250229</v>
      </c>
      <c r="E11" s="108" t="n">
        <v>-254013</v>
      </c>
      <c r="F11" s="108"/>
      <c r="G11" s="108"/>
      <c r="H11" s="108" t="n">
        <f aca="false">+E11-D11+C11-B11</f>
        <v>-3784</v>
      </c>
      <c r="I11" s="113"/>
      <c r="L11" s="195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 t="n">
        <f aca="false">-272276-750</f>
        <v>-273026</v>
      </c>
      <c r="E12" s="108" t="n">
        <v>-274969</v>
      </c>
      <c r="F12" s="108"/>
      <c r="G12" s="108"/>
      <c r="H12" s="108" t="n">
        <f aca="false">+E12-D12+C12-B12</f>
        <v>-1943</v>
      </c>
      <c r="I12" s="113"/>
      <c r="L12" s="195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 t="n">
        <f aca="false">-266075-750</f>
        <v>-266825</v>
      </c>
      <c r="E13" s="108" t="n">
        <v>-268577</v>
      </c>
      <c r="F13" s="108"/>
      <c r="G13" s="108"/>
      <c r="H13" s="108" t="n">
        <f aca="false">+E13-D13+C13-B13</f>
        <v>-1752</v>
      </c>
      <c r="I13" s="113"/>
      <c r="L13" s="195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 t="n">
        <f aca="false">-278307-750</f>
        <v>-279057</v>
      </c>
      <c r="E14" s="108" t="n">
        <v>-283415</v>
      </c>
      <c r="F14" s="108"/>
      <c r="G14" s="108"/>
      <c r="H14" s="108" t="n">
        <f aca="false">+E14-D14+C14-B14</f>
        <v>-4358</v>
      </c>
      <c r="I14" s="113"/>
      <c r="L14" s="195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 t="n">
        <f aca="false">-287669-750</f>
        <v>-288419</v>
      </c>
      <c r="E15" s="108" t="n">
        <v>-288213</v>
      </c>
      <c r="F15" s="108"/>
      <c r="G15" s="108"/>
      <c r="H15" s="108" t="n">
        <f aca="false">+E15-D15+C15-B15</f>
        <v>206</v>
      </c>
      <c r="I15" s="113"/>
      <c r="L15" s="195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 t="n">
        <f aca="false">-273937-750</f>
        <v>-274687</v>
      </c>
      <c r="E16" s="108" t="n">
        <v>-275351</v>
      </c>
      <c r="F16" s="108"/>
      <c r="G16" s="108"/>
      <c r="H16" s="108" t="n">
        <f aca="false">+E16-D16+C16-B16</f>
        <v>-664</v>
      </c>
      <c r="I16" s="113"/>
      <c r="L16" s="195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 t="n">
        <f aca="false">-286926-750</f>
        <v>-287676</v>
      </c>
      <c r="E17" s="108" t="n">
        <v>-288307</v>
      </c>
      <c r="F17" s="108"/>
      <c r="G17" s="108"/>
      <c r="H17" s="108" t="n">
        <f aca="false">+E17-D17+C17-B17</f>
        <v>-631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 t="n">
        <f aca="false">-240327-500-500</f>
        <v>-241327</v>
      </c>
      <c r="E18" s="108" t="n">
        <v>-241208</v>
      </c>
      <c r="F18" s="108"/>
      <c r="G18" s="108"/>
      <c r="H18" s="108" t="n">
        <f aca="false">+E18-D18+C18-B18</f>
        <v>119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 t="n">
        <f aca="false">-274050-500-500</f>
        <v>-275050</v>
      </c>
      <c r="E19" s="108" t="n">
        <v>-274559</v>
      </c>
      <c r="F19" s="108"/>
      <c r="G19" s="108"/>
      <c r="H19" s="108" t="n">
        <f aca="false">+E19-D19+C19-B19</f>
        <v>491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 t="n">
        <f aca="false">-302256-500-500</f>
        <v>-303256</v>
      </c>
      <c r="E20" s="108" t="n">
        <v>-310176</v>
      </c>
      <c r="F20" s="108"/>
      <c r="G20" s="108"/>
      <c r="H20" s="108" t="n">
        <f aca="false">+E20-D20+C20-B20</f>
        <v>-6920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 t="n">
        <f aca="false">-290427-500-500</f>
        <v>-291427</v>
      </c>
      <c r="E21" s="108" t="n">
        <v>-283120</v>
      </c>
      <c r="F21" s="108"/>
      <c r="G21" s="108"/>
      <c r="H21" s="108" t="n">
        <f aca="false">+E21-D21+C21-B21</f>
        <v>8307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 t="n">
        <f aca="false">-297326-500-500</f>
        <v>-298326</v>
      </c>
      <c r="E22" s="108" t="n">
        <v>-310274</v>
      </c>
      <c r="F22" s="108"/>
      <c r="G22" s="108"/>
      <c r="H22" s="108" t="n">
        <f aca="false">+E22-D22+C22-B22</f>
        <v>-11948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 t="n">
        <f aca="false">-275043-750-250</f>
        <v>-276043</v>
      </c>
      <c r="E23" s="108" t="n">
        <v>-306032</v>
      </c>
      <c r="F23" s="108"/>
      <c r="G23" s="108"/>
      <c r="H23" s="108" t="n">
        <f aca="false">+E23-D23+C23-B23</f>
        <v>-29989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 t="n">
        <f aca="false">-301972-750-250</f>
        <v>-302972</v>
      </c>
      <c r="E24" s="108" t="n">
        <v>-325596</v>
      </c>
      <c r="F24" s="108"/>
      <c r="G24" s="108"/>
      <c r="H24" s="108" t="n">
        <f aca="false">+E24-D24+C24-B24</f>
        <v>-22624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 t="n">
        <f aca="false">-313689-750</f>
        <v>-314439</v>
      </c>
      <c r="E25" s="108" t="n">
        <v>-296501</v>
      </c>
      <c r="F25" s="108"/>
      <c r="G25" s="108"/>
      <c r="H25" s="108" t="n">
        <f aca="false">+E25-D25+C25-B25</f>
        <v>17938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 t="n">
        <v>113</v>
      </c>
      <c r="C26" s="108"/>
      <c r="D26" s="108" t="n">
        <f aca="false">-323768-750</f>
        <v>-324518</v>
      </c>
      <c r="E26" s="108" t="n">
        <v>-331407</v>
      </c>
      <c r="F26" s="108"/>
      <c r="G26" s="108"/>
      <c r="H26" s="108" t="n">
        <f aca="false">+E26-D26+C26-B26</f>
        <v>-7002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 t="n">
        <f aca="false">-340426-750</f>
        <v>-341176</v>
      </c>
      <c r="E27" s="108" t="n">
        <v>-342830</v>
      </c>
      <c r="F27" s="108"/>
      <c r="G27" s="108"/>
      <c r="H27" s="108" t="n">
        <f aca="false">+E27-D27+C27-B27</f>
        <v>-1654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 t="n">
        <f aca="false">-316024-750</f>
        <v>-316774</v>
      </c>
      <c r="E28" s="108" t="n">
        <v>-334924</v>
      </c>
      <c r="F28" s="108"/>
      <c r="G28" s="108"/>
      <c r="H28" s="108" t="n">
        <f aca="false">+E28-D28+C28-B28</f>
        <v>-18150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 t="n">
        <f aca="false">-286955-750</f>
        <v>-287705</v>
      </c>
      <c r="E29" s="108" t="n">
        <v>-285138</v>
      </c>
      <c r="F29" s="108"/>
      <c r="G29" s="108"/>
      <c r="H29" s="108" t="n">
        <f aca="false">+E29-D29+C29-B29</f>
        <v>2567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 t="n">
        <f aca="false">-263744-750</f>
        <v>-264494</v>
      </c>
      <c r="E30" s="108" t="n">
        <v>-265642</v>
      </c>
      <c r="F30" s="108"/>
      <c r="G30" s="108"/>
      <c r="H30" s="108" t="n">
        <f aca="false">+E30-D30+C30-B30</f>
        <v>-1148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 t="n">
        <f aca="false">-264751-750</f>
        <v>-265501</v>
      </c>
      <c r="E31" s="108" t="n">
        <v>-263452</v>
      </c>
      <c r="F31" s="108"/>
      <c r="G31" s="108"/>
      <c r="H31" s="108" t="n">
        <f aca="false">+E31-D31+C31-B31</f>
        <v>2049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 t="n">
        <v>-307322</v>
      </c>
      <c r="E32" s="108" t="n">
        <v>-307322</v>
      </c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 t="n">
        <v>-286336</v>
      </c>
      <c r="E33" s="108" t="n">
        <v>-292619</v>
      </c>
      <c r="F33" s="108"/>
      <c r="G33" s="108"/>
      <c r="H33" s="108" t="n">
        <f aca="false">+E33-D33+C33-B33</f>
        <v>-6283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113</v>
      </c>
      <c r="C36" s="108" t="n">
        <f aca="false">SUM(C5:C35)</f>
        <v>0</v>
      </c>
      <c r="D36" s="108" t="n">
        <f aca="false">SUM(D5:D35)</f>
        <v>-8225782</v>
      </c>
      <c r="E36" s="108" t="n">
        <f aca="false">SUM(E5:E35)</f>
        <v>-8325467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-99798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-113</v>
      </c>
      <c r="E37" s="120" t="n">
        <f aca="false">+E36-D36</f>
        <v>-99685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37103</v>
      </c>
      <c r="B38" s="19" t="s">
        <v>139</v>
      </c>
      <c r="C38" s="197" t="n">
        <v>64269</v>
      </c>
      <c r="D38" s="198"/>
      <c r="E38" s="197" t="n">
        <v>27596</v>
      </c>
      <c r="F38" s="108"/>
      <c r="G38" s="108"/>
      <c r="H38" s="154" t="n">
        <f aca="false">+C38+E38+G38</f>
        <v>91865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37132</v>
      </c>
      <c r="B39" s="19" t="s">
        <v>139</v>
      </c>
      <c r="C39" s="199" t="n">
        <f aca="false">+C38+C37</f>
        <v>64156</v>
      </c>
      <c r="D39" s="200"/>
      <c r="E39" s="199" t="n">
        <f aca="false">+E38+E37</f>
        <v>-72089</v>
      </c>
      <c r="F39" s="200"/>
      <c r="G39" s="199"/>
      <c r="H39" s="199" t="n">
        <f aca="false">+H38+H36</f>
        <v>-7933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05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v>37103</v>
      </c>
      <c r="B44" s="9"/>
      <c r="C44" s="206" t="n">
        <v>-1582961</v>
      </c>
      <c r="D44" s="58"/>
      <c r="E44" s="207" t="n">
        <v>1186736.62</v>
      </c>
      <c r="F44" s="16" t="n">
        <f aca="false">+E44+C44</f>
        <v>-396224.38</v>
      </c>
      <c r="G44" s="2"/>
      <c r="H44" s="208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37132</v>
      </c>
      <c r="B45" s="9"/>
      <c r="C45" s="16" t="n">
        <f aca="false">+C37*summary!H4</f>
        <v>-313.01</v>
      </c>
      <c r="D45" s="58"/>
      <c r="E45" s="131" t="n">
        <f aca="false">+E37*summary!H3</f>
        <v>-260177.85</v>
      </c>
      <c r="F45" s="16" t="n">
        <f aca="false">+E45+C45</f>
        <v>-260490.86</v>
      </c>
      <c r="G45" s="2"/>
      <c r="H45" s="208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-1583274.01</v>
      </c>
      <c r="D46" s="58"/>
      <c r="E46" s="131" t="n">
        <f aca="false">+E45+E44</f>
        <v>926558.77</v>
      </c>
      <c r="F46" s="16" t="n">
        <f aca="false">+E46+C46</f>
        <v>-656715.24</v>
      </c>
      <c r="G46" s="2"/>
      <c r="H46" s="208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0"/>
      <c r="B80" s="157"/>
      <c r="C80" s="108"/>
      <c r="D80" s="108"/>
      <c r="F80" s="160"/>
      <c r="G80" s="157"/>
      <c r="H80" s="108"/>
      <c r="I80" s="108"/>
      <c r="J80" s="108"/>
      <c r="L80" s="160"/>
      <c r="M80" s="157"/>
      <c r="N80" s="108"/>
      <c r="O80" s="108"/>
      <c r="P80" s="108"/>
      <c r="R80" s="160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86"/>
      <c r="N100" s="108"/>
      <c r="O100" s="108"/>
      <c r="P100" s="108"/>
      <c r="Q100" s="108"/>
      <c r="R100" s="107"/>
      <c r="S100" s="186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0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3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0"/>
      <c r="V123" s="101"/>
      <c r="W123" s="101"/>
      <c r="X123" s="101"/>
      <c r="Y123" s="101"/>
      <c r="Z123" s="190"/>
      <c r="AA123" s="173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3"/>
      <c r="W157" s="120"/>
      <c r="X157" s="63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0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3"/>
    </row>
    <row r="161" customFormat="false" ht="12.75" hidden="false" customHeight="false" outlineLevel="0" collapsed="false">
      <c r="R161" s="75"/>
      <c r="S161" s="101"/>
      <c r="T161" s="101"/>
      <c r="U161" s="190"/>
      <c r="V161" s="101"/>
      <c r="W161" s="101"/>
      <c r="X161" s="101"/>
      <c r="Y161" s="101"/>
      <c r="Z161" s="190"/>
      <c r="AA161" s="173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3"/>
      <c r="W195" s="120"/>
      <c r="X195" s="63"/>
      <c r="Y195" s="120"/>
      <c r="Z195" s="214"/>
      <c r="AA195" s="199"/>
    </row>
    <row r="198" customFormat="false" ht="12.75" hidden="false" customHeight="false" outlineLevel="0" collapsed="false">
      <c r="R198" s="160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3"/>
    </row>
    <row r="200" customFormat="false" ht="12.75" hidden="false" customHeight="false" outlineLevel="0" collapsed="false">
      <c r="R200" s="75"/>
      <c r="S200" s="101"/>
      <c r="T200" s="101"/>
      <c r="U200" s="190"/>
      <c r="V200" s="101"/>
      <c r="W200" s="101"/>
      <c r="X200" s="101"/>
      <c r="Y200" s="101"/>
      <c r="Z200" s="190"/>
      <c r="AA200" s="173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3"/>
      <c r="W234" s="120"/>
      <c r="X234" s="63"/>
      <c r="Y234" s="120"/>
      <c r="Z234" s="213"/>
      <c r="AA234" s="215"/>
    </row>
    <row r="237" customFormat="false" ht="12.75" hidden="false" customHeight="false" outlineLevel="0" collapsed="false">
      <c r="R237" s="160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3"/>
    </row>
    <row r="239" customFormat="false" ht="12.75" hidden="false" customHeight="false" outlineLevel="0" collapsed="false">
      <c r="R239" s="75"/>
      <c r="S239" s="101"/>
      <c r="T239" s="101"/>
      <c r="U239" s="190"/>
      <c r="V239" s="101"/>
      <c r="W239" s="101"/>
      <c r="X239" s="101"/>
      <c r="Y239" s="101"/>
      <c r="Z239" s="190"/>
      <c r="AA239" s="173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3"/>
      <c r="W273" s="120"/>
      <c r="X273" s="63"/>
      <c r="Y273" s="120"/>
      <c r="Z273" s="213"/>
      <c r="AA273" s="215"/>
    </row>
    <row r="276" customFormat="false" ht="12.75" hidden="false" customHeight="false" outlineLevel="0" collapsed="false">
      <c r="R276" s="160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0"/>
      <c r="V278" s="101"/>
      <c r="W278" s="101"/>
      <c r="X278" s="101"/>
      <c r="Y278" s="101"/>
      <c r="Z278" s="190"/>
      <c r="AA278" s="173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3"/>
      <c r="W312" s="120"/>
      <c r="X312" s="63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5" activeCellId="3" sqref="C34 B39 A40 C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140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  <c r="D5" s="101" t="s">
        <v>134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136208</v>
      </c>
      <c r="C6" s="108" t="n">
        <v>142148</v>
      </c>
      <c r="D6" s="120" t="n">
        <f aca="false">+C6-B6</f>
        <v>5940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91841</v>
      </c>
      <c r="C7" s="108" t="n">
        <v>120259</v>
      </c>
      <c r="D7" s="120" t="n">
        <f aca="false">+C7-B7</f>
        <v>28418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95240</v>
      </c>
      <c r="C8" s="108" t="n">
        <v>97445</v>
      </c>
      <c r="D8" s="120" t="n">
        <f aca="false">+C8-B8</f>
        <v>2205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116769</v>
      </c>
      <c r="C9" s="108" t="n">
        <v>114074</v>
      </c>
      <c r="D9" s="120" t="n">
        <f aca="false">+C9-B9</f>
        <v>-2695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108530</v>
      </c>
      <c r="C10" s="108" t="n">
        <v>114453</v>
      </c>
      <c r="D10" s="120" t="n">
        <f aca="false">+C10-B10</f>
        <v>5923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 t="n">
        <v>119572</v>
      </c>
      <c r="C11" s="108" t="n">
        <v>113703</v>
      </c>
      <c r="D11" s="120" t="n">
        <f aca="false">+C11-B11</f>
        <v>-5869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 t="n">
        <v>112545</v>
      </c>
      <c r="C12" s="108" t="n">
        <v>111866</v>
      </c>
      <c r="D12" s="120" t="n">
        <f aca="false">+C12-B12</f>
        <v>-679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 t="n">
        <v>112164</v>
      </c>
      <c r="C13" s="108" t="n">
        <v>113431</v>
      </c>
      <c r="D13" s="120" t="n">
        <f aca="false">+C13-B13</f>
        <v>1267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 t="n">
        <v>113044</v>
      </c>
      <c r="C14" s="108" t="n">
        <v>111560</v>
      </c>
      <c r="D14" s="120" t="n">
        <f aca="false">+C14-B14</f>
        <v>-1484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 t="n">
        <v>116403</v>
      </c>
      <c r="C15" s="108" t="n">
        <v>112898</v>
      </c>
      <c r="D15" s="120" t="n">
        <f aca="false">+C15-B15</f>
        <v>-3505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 t="n">
        <v>103748</v>
      </c>
      <c r="C16" s="108" t="n">
        <v>104833</v>
      </c>
      <c r="D16" s="120" t="n">
        <f aca="false">+C16-B16</f>
        <v>1085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 t="n">
        <v>107912</v>
      </c>
      <c r="C17" s="108" t="n">
        <v>106898</v>
      </c>
      <c r="D17" s="120" t="n">
        <f aca="false">+C17-B17</f>
        <v>-1014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 t="n">
        <v>120413</v>
      </c>
      <c r="C18" s="108" t="n">
        <v>125960</v>
      </c>
      <c r="D18" s="120" t="n">
        <f aca="false">+C18-B18</f>
        <v>5547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 t="n">
        <v>113885</v>
      </c>
      <c r="C19" s="108" t="n">
        <v>111354</v>
      </c>
      <c r="D19" s="120" t="n">
        <f aca="false">+C19-B19</f>
        <v>-2531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 t="n">
        <v>116049</v>
      </c>
      <c r="C20" s="108" t="n">
        <v>114316</v>
      </c>
      <c r="D20" s="120" t="n">
        <f aca="false">+C20-B20</f>
        <v>-1733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 t="n">
        <v>112428</v>
      </c>
      <c r="C21" s="108" t="n">
        <v>116998</v>
      </c>
      <c r="D21" s="120" t="n">
        <f aca="false">+C21-B21</f>
        <v>4570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 t="n">
        <v>107540</v>
      </c>
      <c r="C22" s="108" t="n">
        <v>109346</v>
      </c>
      <c r="D22" s="120" t="n">
        <f aca="false">+C22-B22</f>
        <v>1806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 t="n">
        <v>103802</v>
      </c>
      <c r="C23" s="108" t="n">
        <v>104079</v>
      </c>
      <c r="D23" s="120" t="n">
        <f aca="false">+C23-B23</f>
        <v>277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 t="n">
        <v>93807</v>
      </c>
      <c r="C24" s="108" t="n">
        <v>102057</v>
      </c>
      <c r="D24" s="120" t="n">
        <f aca="false">+C24-B24</f>
        <v>8250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 t="n">
        <v>92618</v>
      </c>
      <c r="C25" s="108" t="n">
        <v>90965</v>
      </c>
      <c r="D25" s="120" t="n">
        <f aca="false">+C25-B25</f>
        <v>-1653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 t="n">
        <v>103978</v>
      </c>
      <c r="C26" s="108" t="n">
        <v>103248</v>
      </c>
      <c r="D26" s="120" t="n">
        <f aca="false">+C26-B26</f>
        <v>-730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 t="n">
        <v>136225</v>
      </c>
      <c r="C27" s="108" t="n">
        <v>140467</v>
      </c>
      <c r="D27" s="120" t="n">
        <f aca="false">+C27-B27</f>
        <v>4242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 t="n">
        <v>134427</v>
      </c>
      <c r="C28" s="108" t="n">
        <v>130259</v>
      </c>
      <c r="D28" s="120" t="n">
        <f aca="false">+C28-B28</f>
        <v>-4168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 t="n">
        <v>130095</v>
      </c>
      <c r="C29" s="108" t="n">
        <v>130206</v>
      </c>
      <c r="D29" s="120" t="n">
        <f aca="false">+C29-B29</f>
        <v>111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 t="n">
        <v>108803</v>
      </c>
      <c r="C30" s="108" t="n">
        <v>109705</v>
      </c>
      <c r="D30" s="120" t="n">
        <f aca="false">+C30-B30</f>
        <v>902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 t="n">
        <v>92412</v>
      </c>
      <c r="C31" s="108" t="n">
        <v>91396</v>
      </c>
      <c r="D31" s="120" t="n">
        <f aca="false">+C31-B31</f>
        <v>-1016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 t="n">
        <v>90203</v>
      </c>
      <c r="C32" s="108" t="n">
        <v>88527</v>
      </c>
      <c r="D32" s="120" t="n">
        <f aca="false">+C32-B32</f>
        <v>-1676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 t="n">
        <v>100211</v>
      </c>
      <c r="C33" s="108" t="n">
        <v>98443</v>
      </c>
      <c r="D33" s="120" t="n">
        <f aca="false">+C33-B33</f>
        <v>-1768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 t="n">
        <v>140937</v>
      </c>
      <c r="C34" s="108" t="n">
        <v>139102</v>
      </c>
      <c r="D34" s="120" t="n">
        <f aca="false">+C34-B34</f>
        <v>-1835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3231809</v>
      </c>
      <c r="C37" s="108" t="n">
        <f aca="false">SUM(C6:C36)</f>
        <v>3269996</v>
      </c>
      <c r="D37" s="108" t="n">
        <f aca="false">SUM(D6:D36)</f>
        <v>38187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1"/>
      <c r="I38" s="218"/>
      <c r="J38" s="201"/>
      <c r="K38" s="30"/>
      <c r="L38" s="201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54883</v>
      </c>
      <c r="E39" s="152"/>
      <c r="G39" s="79"/>
      <c r="H39" s="108"/>
      <c r="I39" s="219"/>
      <c r="J39" s="201"/>
      <c r="K39" s="220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37132</v>
      </c>
      <c r="C40" s="151"/>
      <c r="D40" s="120" t="n">
        <f aca="false">+D39+D37</f>
        <v>93070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8" t="n">
        <v>411751.53</v>
      </c>
    </row>
    <row r="46" customFormat="false" ht="12.75" hidden="false" customHeight="false" outlineLevel="0" collapsed="false">
      <c r="A46" s="124" t="n">
        <f aca="false">+A40</f>
        <v>37132</v>
      </c>
      <c r="B46" s="9"/>
      <c r="C46" s="9"/>
      <c r="D46" s="126" t="n">
        <f aca="false">+D37*'by type'!J3</f>
        <v>99668.07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511419.6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2001-08-30T10:56:01Z</cp:lastPrinted>
  <dcterms:modified xsi:type="dcterms:W3CDTF">2001-08-31T17:06:46Z</dcterms:modified>
  <cp:revision>0</cp:revision>
  <dc:subject/>
  <dc:title/>
</cp:coreProperties>
</file>