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type'!$A$2:$M$81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15" name="_xlnm.Print_Area" vbProcedure="false">Duke!$A$2:$C$54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PGETX!$K$4:$P$19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<sst xmlns="http://schemas.openxmlformats.org/spreadsheetml/2006/main" count="667" uniqueCount="205">
  <si>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</si>
  <si>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</si>
  <si>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</si>
  <si>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</si>
  <si>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</si>
  <si>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</si>
  <si>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</si>
  <si>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</si>
  <si>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</si>
  <si>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</si>
  <si>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</si>
  <si>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</si>
  <si>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</si>
  <si>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</si>
  <si>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</si>
  <si>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</si>
  <si>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</si>
  <si>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</si>
  <si>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</si>
  <si>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</si>
  <si>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</si>
  <si>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</si>
  <si>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</si>
  <si>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</si>
  <si>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</si>
  <si>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</si>
  <si>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</si>
  <si>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</si>
  <si>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</si>
  <si>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</si>
  <si>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</si>
  <si>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</si>
  <si>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</si>
  <si>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</si>
  <si>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</si>
  <si>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</si>
  <si>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</si>
  <si>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</si>
  <si>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</si>
  <si>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</si>
  <si>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</si>
  <si>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</si>
  <si>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</si>
  <si>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</si>
  <si>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</si>
  <si>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</si>
  <si>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</si>
  <si>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</si>
  <si>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</si>
  <si>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</si>
  <si>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</si>
  <si>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will get payback in 9/01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</si>
  <si>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</si>
  <si>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</si>
  <si>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</si>
  <si>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</si>
  <si>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</si>
  <si>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</si>
  <si>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</si>
  <si>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</si>
  <si>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</si>
  <si>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</si>
  <si>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</si>
  <si>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</si>
  <si>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</si>
  <si>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</si>
  <si>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</si>
  <si>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</si>
  <si>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</si>
  <si>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</si>
  <si>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</si>
  <si>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</si>
  <si>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</si>
  <si>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</si>
  <si>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</si>
  <si>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</si>
  <si>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</si>
  <si>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</si>
  <si>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</si>
  <si>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</si>
  <si>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</si>
  <si>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</si>
  <si>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</si>
  <si>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</si>
  <si>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</si>
  <si>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</si>
  <si>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</si>
  <si>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</si>
  <si>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</si>
  <si>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</si>
  <si>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</si>
  <si>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</si>
  <si>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</si>
  <si>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</si>
  <si>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</si>
  <si>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</si>
  <si>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</si>
  <si>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</si>
  <si>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</si>
  <si>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</si>
  <si>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Dollar Valued</t>
  </si>
  <si>
    <t xml:space="preserve">Zia and Maljamar</t>
  </si>
  <si>
    <t xml:space="preserve">El Paso</t>
  </si>
  <si>
    <t xml:space="preserve">Blanco and Window Rock</t>
  </si>
  <si>
    <t xml:space="preserve">cashed out monthly</t>
  </si>
  <si>
    <t xml:space="preserve">Receivable imbalances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</si>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</sst>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339966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8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2.9</v>
          </cell>
        </row>
        <row r="39">
          <cell r="K39">
            <v>2.63</v>
          </cell>
        </row>
        <row r="39">
          <cell r="M39">
            <v>2.81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9.85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0.41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2.63</v>
      </c>
      <c r="K3" s="12" t="n">
        <f aca="true">NOW()</f>
        <v>45926.9554874128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2.81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2.9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4" t="s">
        <v>16</v>
      </c>
      <c r="F9" s="24" t="s">
        <v>17</v>
      </c>
      <c r="G9" s="25" t="s">
        <v>18</v>
      </c>
      <c r="H9" s="26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7"/>
      <c r="D10" s="28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8" t="s">
        <v>22</v>
      </c>
      <c r="B12" s="29" t="n">
        <f aca="false">+Calpine!D41</f>
        <v>72274.61</v>
      </c>
      <c r="C12" s="30" t="n">
        <f aca="false">+B12/$J$4</f>
        <v>25720.5017793594</v>
      </c>
      <c r="D12" s="30" t="n">
        <f aca="false">+Calpine!D47</f>
        <v>126835</v>
      </c>
      <c r="E12" s="31" t="n">
        <f aca="false">+C12-D12</f>
        <v>-101114.498220641</v>
      </c>
      <c r="F12" s="32" t="n">
        <f aca="false">+Calpine!A41</f>
        <v>37130</v>
      </c>
      <c r="G12" s="33"/>
      <c r="H12" s="28" t="s">
        <v>23</v>
      </c>
      <c r="I12" s="34"/>
      <c r="J12" s="31"/>
      <c r="K12" s="9"/>
    </row>
    <row r="13" customFormat="false" ht="15.95" hidden="false" customHeight="true" outlineLevel="2" collapsed="false">
      <c r="A13" s="9" t="s">
        <v>24</v>
      </c>
      <c r="B13" s="29" t="n">
        <f aca="false">+'Citizens-Griffith'!D41</f>
        <v>-214702.67</v>
      </c>
      <c r="C13" s="27" t="n">
        <f aca="false">+B13/$J$4</f>
        <v>-76406.6441281139</v>
      </c>
      <c r="D13" s="30" t="n">
        <f aca="false">+'Citizens-Griffith'!D48</f>
        <v>-101722</v>
      </c>
      <c r="E13" s="31" t="n">
        <f aca="false">+C13-D13</f>
        <v>25315.3558718861</v>
      </c>
      <c r="F13" s="32" t="n">
        <f aca="false">+'Citizens-Griffith'!A41</f>
        <v>37130</v>
      </c>
      <c r="G13" s="33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9" t="n">
        <f aca="false">+'NS Steel'!D41</f>
        <v>-430861.25</v>
      </c>
      <c r="C14" s="27" t="n">
        <f aca="false">+B14/$J$4</f>
        <v>-153331.40569395</v>
      </c>
      <c r="D14" s="30" t="n">
        <f aca="false">+'NS Steel'!D50</f>
        <v>-81313</v>
      </c>
      <c r="E14" s="31" t="n">
        <f aca="false">+C14-D14</f>
        <v>-72018.4056939502</v>
      </c>
      <c r="F14" s="35" t="n">
        <f aca="false">+'NS Steel'!A41</f>
        <v>37130</v>
      </c>
      <c r="G14" s="33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8" t="s">
        <v>29</v>
      </c>
      <c r="B15" s="36" t="n">
        <f aca="false">+Citizens!D18</f>
        <v>-783780.84</v>
      </c>
      <c r="C15" s="37" t="n">
        <f aca="false">+B15/$J$4</f>
        <v>-278925.565836299</v>
      </c>
      <c r="D15" s="37" t="n">
        <f aca="false">+Citizens!D24</f>
        <v>-161931</v>
      </c>
      <c r="E15" s="38" t="n">
        <f aca="false">+C15-D15</f>
        <v>-116994.565836299</v>
      </c>
      <c r="F15" s="32" t="n">
        <f aca="false">+Citizens!A18</f>
        <v>37130</v>
      </c>
      <c r="G15" s="33"/>
      <c r="H15" s="28" t="s">
        <v>23</v>
      </c>
      <c r="I15" s="39" t="s">
        <v>30</v>
      </c>
      <c r="J15" s="9"/>
      <c r="K15" s="9"/>
      <c r="T15" s="40"/>
    </row>
    <row r="16" customFormat="false" ht="15.95" hidden="false" customHeight="true" outlineLevel="2" collapsed="false">
      <c r="A16" s="41" t="s">
        <v>31</v>
      </c>
      <c r="B16" s="42" t="n">
        <f aca="false">SUBTOTAL(9,B12:B15)</f>
        <v>-1357070.15</v>
      </c>
      <c r="C16" s="43" t="n">
        <f aca="false">SUBTOTAL(9,C12:C15)</f>
        <v>-482943.113879004</v>
      </c>
      <c r="D16" s="43" t="n">
        <f aca="false">SUBTOTAL(9,D12:D15)</f>
        <v>-218131</v>
      </c>
      <c r="E16" s="44" t="n">
        <f aca="false">SUBTOTAL(9,E12:E15)</f>
        <v>-264812.113879004</v>
      </c>
      <c r="F16" s="32"/>
      <c r="G16" s="33"/>
      <c r="H16" s="28"/>
      <c r="I16" s="34"/>
      <c r="J16" s="9"/>
      <c r="K16" s="9"/>
      <c r="T16" s="40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5" t="s">
        <v>32</v>
      </c>
      <c r="G18" s="6"/>
    </row>
    <row r="19" customFormat="false" ht="15.95" hidden="false" customHeight="true" outlineLevel="2" collapsed="false">
      <c r="A19" s="9" t="s">
        <v>33</v>
      </c>
      <c r="B19" s="46" t="n">
        <f aca="false">+transcol!$D$43</f>
        <v>29015.68</v>
      </c>
      <c r="C19" s="27" t="n">
        <f aca="false">+B19/$J$4</f>
        <v>10325.8647686833</v>
      </c>
      <c r="D19" s="30" t="n">
        <f aca="false">+transcol!D50</f>
        <v>-40837</v>
      </c>
      <c r="E19" s="31" t="n">
        <f aca="false">+C19-D19</f>
        <v>51162.8647686833</v>
      </c>
      <c r="F19" s="35" t="n">
        <f aca="false">+transcol!A43</f>
        <v>37130</v>
      </c>
      <c r="G19" s="33" t="s">
        <v>34</v>
      </c>
      <c r="H19" s="9" t="s">
        <v>35</v>
      </c>
      <c r="I19" s="9"/>
      <c r="J19" s="9"/>
      <c r="K19" s="9"/>
      <c r="T19" s="40"/>
    </row>
    <row r="20" customFormat="false" ht="15.95" hidden="false" customHeight="true" outlineLevel="2" collapsed="false">
      <c r="A20" s="28" t="s">
        <v>36</v>
      </c>
      <c r="B20" s="36" t="n">
        <f aca="false">+burlington!D42</f>
        <v>8367.82</v>
      </c>
      <c r="C20" s="47" t="n">
        <f aca="false">+B20/$J$3</f>
        <v>3181.68060836502</v>
      </c>
      <c r="D20" s="37" t="n">
        <f aca="false">+burlington!D49</f>
        <v>2156</v>
      </c>
      <c r="E20" s="38" t="n">
        <f aca="false">+C20-D20</f>
        <v>1025.68060836502</v>
      </c>
      <c r="F20" s="32" t="n">
        <f aca="false">+burlington!A42</f>
        <v>37130</v>
      </c>
      <c r="G20" s="33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1" t="s">
        <v>39</v>
      </c>
      <c r="B21" s="42" t="n">
        <f aca="false">SUBTOTAL(9,B19:B20)</f>
        <v>37383.5</v>
      </c>
      <c r="C21" s="48" t="n">
        <f aca="false">SUBTOTAL(9,C19:C20)</f>
        <v>13507.5453770483</v>
      </c>
      <c r="D21" s="43" t="n">
        <f aca="false">SUBTOTAL(9,D19:D20)</f>
        <v>-38681</v>
      </c>
      <c r="E21" s="44" t="n">
        <f aca="false">SUBTOTAL(9,E19:E20)</f>
        <v>52188.5453770483</v>
      </c>
      <c r="F21" s="32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B23" s="49"/>
      <c r="C23" s="50"/>
      <c r="D23" s="51"/>
      <c r="E23" s="51"/>
      <c r="F23" s="51"/>
      <c r="G23" s="52"/>
      <c r="H23" s="51"/>
      <c r="I23" s="51"/>
    </row>
    <row r="24" customFormat="false" ht="15.95" hidden="false" customHeight="true" outlineLevel="2" collapsed="false">
      <c r="A24" s="28" t="s">
        <v>41</v>
      </c>
      <c r="B24" s="29" t="n">
        <f aca="false">+NNG!$D$24</f>
        <v>321556.18</v>
      </c>
      <c r="C24" s="27" t="n">
        <f aca="false">+B24/$J$4</f>
        <v>114432.804270463</v>
      </c>
      <c r="D24" s="30" t="n">
        <f aca="false">+NNG!D34</f>
        <v>-56079</v>
      </c>
      <c r="E24" s="31" t="n">
        <f aca="false">+C24-D24</f>
        <v>170511.804270463</v>
      </c>
      <c r="F24" s="32" t="n">
        <f aca="false">+NNG!A24</f>
        <v>37130</v>
      </c>
      <c r="G24" s="53" t="s">
        <v>42</v>
      </c>
      <c r="H24" s="28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9" t="n">
        <f aca="false">+Conoco!$F$41</f>
        <v>536617.19</v>
      </c>
      <c r="C25" s="27" t="n">
        <f aca="false">+B25/$J$4</f>
        <v>190966.971530249</v>
      </c>
      <c r="D25" s="30" t="n">
        <f aca="false">+Conoco!D48</f>
        <v>68063</v>
      </c>
      <c r="E25" s="31" t="n">
        <f aca="false">+C25-D25</f>
        <v>122903.971530249</v>
      </c>
      <c r="F25" s="32" t="n">
        <f aca="false">+Conoco!A41</f>
        <v>37130</v>
      </c>
      <c r="G25" s="33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9" t="n">
        <f aca="false">+'Amoco Abo'!$F$43</f>
        <v>420792.42</v>
      </c>
      <c r="C26" s="27" t="n">
        <f aca="false">+B26/$J$4</f>
        <v>149748.192170819</v>
      </c>
      <c r="D26" s="30" t="n">
        <f aca="false">+'Amoco Abo'!D49</f>
        <v>-243388</v>
      </c>
      <c r="E26" s="31" t="n">
        <f aca="false">+C26-D26</f>
        <v>393136.192170819</v>
      </c>
      <c r="F26" s="35" t="n">
        <f aca="false">+'Amoco Abo'!A43</f>
        <v>37130</v>
      </c>
      <c r="G26" s="33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9" t="n">
        <f aca="false">+KN_Westar!F41</f>
        <v>446749.2</v>
      </c>
      <c r="C27" s="27" t="n">
        <f aca="false">+B27/$J$4</f>
        <v>158985.480427046</v>
      </c>
      <c r="D27" s="30" t="n">
        <f aca="false">+KN_Westar!D48</f>
        <v>20836</v>
      </c>
      <c r="E27" s="31" t="n">
        <f aca="false">+C27-D27</f>
        <v>138149.480427046</v>
      </c>
      <c r="F27" s="35" t="n">
        <f aca="false">+KN_Westar!A41</f>
        <v>37130</v>
      </c>
      <c r="G27" s="33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9" t="n">
        <f aca="false">+DEFS!F53</f>
        <v>247391.85</v>
      </c>
      <c r="C28" s="30" t="n">
        <f aca="false">+B28/$J$4</f>
        <v>88039.8042704625</v>
      </c>
      <c r="D28" s="30" t="n">
        <f aca="false">+DEFS!M53</f>
        <v>428123</v>
      </c>
      <c r="E28" s="31" t="n">
        <f aca="false">+C28-D28</f>
        <v>-340083.195729538</v>
      </c>
      <c r="F28" s="35" t="n">
        <f aca="false">+DEFS!A40</f>
        <v>37130</v>
      </c>
      <c r="G28" s="33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9" t="n">
        <f aca="false">+CIG!D43</f>
        <v>482889.84</v>
      </c>
      <c r="C29" s="27" t="n">
        <f aca="false">+B29/$J$4</f>
        <v>171846.918149466</v>
      </c>
      <c r="D29" s="30" t="n">
        <f aca="false">+CIG!D49</f>
        <v>61853</v>
      </c>
      <c r="E29" s="31" t="n">
        <f aca="false">+C29-D29</f>
        <v>109993.918149466</v>
      </c>
      <c r="F29" s="35" t="n">
        <f aca="false">+CIG!A43</f>
        <v>37130</v>
      </c>
      <c r="G29" s="33" t="s">
        <v>25</v>
      </c>
      <c r="H29" s="9" t="s">
        <v>37</v>
      </c>
      <c r="I29" s="9" t="s">
        <v>51</v>
      </c>
      <c r="J29" s="9"/>
      <c r="K29" s="9"/>
    </row>
    <row r="30" customFormat="false" ht="18" hidden="false" customHeight="true" outlineLevel="1" collapsed="false">
      <c r="A30" s="9" t="s">
        <v>52</v>
      </c>
      <c r="B30" s="29" t="n">
        <f aca="false">+mewborne!$J$43</f>
        <v>330829.57</v>
      </c>
      <c r="C30" s="27" t="n">
        <f aca="false">+B30/$J$4</f>
        <v>117732.943060498</v>
      </c>
      <c r="D30" s="30" t="n">
        <f aca="false">+mewborne!D49</f>
        <v>131454</v>
      </c>
      <c r="E30" s="31" t="n">
        <f aca="false">+C30-D30</f>
        <v>-13721.0569395018</v>
      </c>
      <c r="F30" s="35" t="n">
        <f aca="false">+mewborne!A43</f>
        <v>37130</v>
      </c>
      <c r="G30" s="33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53</v>
      </c>
      <c r="B31" s="29" t="n">
        <f aca="false">+PGETX!$H$39</f>
        <v>485054.76</v>
      </c>
      <c r="C31" s="27" t="n">
        <f aca="false">+B31/$J$4</f>
        <v>172617.352313167</v>
      </c>
      <c r="D31" s="30" t="n">
        <f aca="false">+PGETX!E48</f>
        <v>119855</v>
      </c>
      <c r="E31" s="31" t="n">
        <f aca="false">+C31-D31</f>
        <v>52762.3523131673</v>
      </c>
      <c r="F31" s="35" t="n">
        <f aca="false">+PGETX!E39</f>
        <v>37130</v>
      </c>
      <c r="G31" s="33" t="s">
        <v>42</v>
      </c>
      <c r="H31" s="9" t="s">
        <v>54</v>
      </c>
      <c r="I31" s="9" t="s">
        <v>55</v>
      </c>
      <c r="J31" s="9"/>
      <c r="K31" s="9"/>
    </row>
    <row r="32" customFormat="false" ht="17.1" hidden="false" customHeight="true" outlineLevel="0" collapsed="false">
      <c r="A32" s="9" t="s">
        <v>56</v>
      </c>
      <c r="B32" s="29" t="n">
        <f aca="false">+PNM!$D$23</f>
        <v>134480.49</v>
      </c>
      <c r="C32" s="27" t="n">
        <f aca="false">+B32/$J$4</f>
        <v>47857.8256227758</v>
      </c>
      <c r="D32" s="30" t="n">
        <f aca="false">+PNM!D30</f>
        <v>9862</v>
      </c>
      <c r="E32" s="31" t="n">
        <f aca="false">+C32-D32</f>
        <v>37995.8256227758</v>
      </c>
      <c r="F32" s="35" t="n">
        <f aca="false">+PNM!A23</f>
        <v>37130</v>
      </c>
      <c r="G32" s="33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57</v>
      </c>
      <c r="B33" s="29" t="n">
        <f aca="false">+EOG!J41</f>
        <v>85492.29</v>
      </c>
      <c r="C33" s="27" t="n">
        <f aca="false">+B33/$J$4</f>
        <v>30424.3024911032</v>
      </c>
      <c r="D33" s="30" t="n">
        <f aca="false">+EOG!D48</f>
        <v>-83013</v>
      </c>
      <c r="E33" s="31" t="n">
        <f aca="false">+C33-D33</f>
        <v>113437.302491103</v>
      </c>
      <c r="F33" s="32" t="n">
        <f aca="false">+EOG!A41</f>
        <v>37130</v>
      </c>
      <c r="G33" s="33" t="s">
        <v>25</v>
      </c>
      <c r="H33" s="9" t="s">
        <v>54</v>
      </c>
      <c r="I33" s="9"/>
      <c r="J33" s="9"/>
      <c r="K33" s="9"/>
    </row>
    <row r="34" customFormat="false" ht="17.1" hidden="false" customHeight="true" outlineLevel="0" collapsed="false">
      <c r="A34" s="9" t="s">
        <v>58</v>
      </c>
      <c r="B34" s="29" t="n">
        <f aca="false">+SidR!D41</f>
        <v>5040.2</v>
      </c>
      <c r="C34" s="27" t="n">
        <f aca="false">+B34/$J$4</f>
        <v>1793.66548042705</v>
      </c>
      <c r="D34" s="30" t="n">
        <f aca="false">+SidR!D48</f>
        <v>55101</v>
      </c>
      <c r="E34" s="31" t="n">
        <f aca="false">+C34-D34</f>
        <v>-53307.334519573</v>
      </c>
      <c r="F34" s="35" t="n">
        <f aca="false">+SidR!A41</f>
        <v>37130</v>
      </c>
      <c r="G34" s="33" t="s">
        <v>42</v>
      </c>
      <c r="H34" s="9" t="s">
        <v>54</v>
      </c>
      <c r="I34" s="9"/>
      <c r="J34" s="9"/>
      <c r="K34" s="9"/>
    </row>
    <row r="35" customFormat="false" ht="17.1" hidden="false" customHeight="true" outlineLevel="0" collapsed="false">
      <c r="A35" s="9" t="s">
        <v>59</v>
      </c>
      <c r="B35" s="29" t="n">
        <f aca="false">+Continental!F43</f>
        <v>-5216.57</v>
      </c>
      <c r="C35" s="30" t="n">
        <f aca="false">+B35/$J$4</f>
        <v>-1856.43060498221</v>
      </c>
      <c r="D35" s="30" t="n">
        <f aca="false">+Continental!D50</f>
        <v>-17302</v>
      </c>
      <c r="E35" s="31" t="n">
        <f aca="false">+C35-D35</f>
        <v>15445.5693950178</v>
      </c>
      <c r="F35" s="35" t="n">
        <f aca="false">+Continental!A43</f>
        <v>37130</v>
      </c>
      <c r="G35" s="33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60</v>
      </c>
      <c r="B36" s="29" t="n">
        <f aca="false">+EPFS!D41</f>
        <v>-125590.4</v>
      </c>
      <c r="C36" s="30" t="n">
        <f aca="false">+B36/$J$5</f>
        <v>-43307.0344827586</v>
      </c>
      <c r="D36" s="30" t="n">
        <f aca="false">+EPFS!D47</f>
        <v>-32266</v>
      </c>
      <c r="E36" s="31" t="n">
        <f aca="false">+C36-D36</f>
        <v>-11041.0344827586</v>
      </c>
      <c r="F36" s="32" t="n">
        <f aca="false">+EPFS!A41</f>
        <v>37130</v>
      </c>
      <c r="G36" s="33" t="s">
        <v>34</v>
      </c>
      <c r="H36" s="9" t="s">
        <v>54</v>
      </c>
      <c r="I36" s="9"/>
      <c r="J36" s="9"/>
      <c r="K36" s="9"/>
    </row>
    <row r="37" customFormat="false" ht="17.1" hidden="false" customHeight="true" outlineLevel="0" collapsed="false">
      <c r="A37" s="28" t="s">
        <v>61</v>
      </c>
      <c r="B37" s="36" t="n">
        <f aca="false">+Agave!$D$24</f>
        <v>-147623.11</v>
      </c>
      <c r="C37" s="37" t="n">
        <f aca="false">+B37/$J$4</f>
        <v>-52534.9145907473</v>
      </c>
      <c r="D37" s="37" t="n">
        <f aca="false">+Agave!D31</f>
        <v>-87382</v>
      </c>
      <c r="E37" s="38" t="n">
        <f aca="false">+C37-D37</f>
        <v>34847.0854092527</v>
      </c>
      <c r="F37" s="32" t="n">
        <f aca="false">+Agave!A24</f>
        <v>37130</v>
      </c>
      <c r="G37" s="33" t="s">
        <v>62</v>
      </c>
      <c r="H37" s="28" t="s">
        <v>54</v>
      </c>
      <c r="I37" s="9"/>
      <c r="J37" s="9"/>
      <c r="K37" s="9"/>
    </row>
    <row r="38" customFormat="false" ht="17.1" hidden="false" customHeight="true" outlineLevel="0" collapsed="false">
      <c r="A38" s="41" t="s">
        <v>63</v>
      </c>
      <c r="B38" s="42" t="n">
        <f aca="false">SUBTOTAL(9,B24:B37)</f>
        <v>3218463.91</v>
      </c>
      <c r="C38" s="43" t="n">
        <f aca="false">SUBTOTAL(9,C24:C37)</f>
        <v>1146747.88010799</v>
      </c>
      <c r="D38" s="43" t="n">
        <f aca="false">SUBTOTAL(9,D24:D37)</f>
        <v>375717</v>
      </c>
      <c r="E38" s="44" t="n">
        <f aca="false">SUBTOTAL(9,E24:E37)</f>
        <v>771030.880107989</v>
      </c>
      <c r="F38" s="32"/>
      <c r="G38" s="54"/>
      <c r="H38" s="9"/>
      <c r="I38" s="28"/>
      <c r="J38" s="9"/>
      <c r="K38" s="9"/>
      <c r="L38" s="9"/>
    </row>
    <row r="39" customFormat="false" ht="12" hidden="false" customHeight="true" outlineLevel="0" collapsed="false">
      <c r="A39" s="28"/>
      <c r="H39" s="9"/>
      <c r="I39" s="28"/>
      <c r="J39" s="9"/>
      <c r="K39" s="9"/>
      <c r="L39" s="9"/>
    </row>
    <row r="40" customFormat="false" ht="17.1" hidden="false" customHeight="true" outlineLevel="0" collapsed="false">
      <c r="A40" s="41" t="s">
        <v>64</v>
      </c>
      <c r="B40" s="42" t="n">
        <f aca="false">SUBTOTAL(9,B12:B37)</f>
        <v>1898777.26</v>
      </c>
      <c r="C40" s="43" t="n">
        <f aca="false">SUBTOTAL(9,C12:C37)</f>
        <v>677312.311606033</v>
      </c>
      <c r="D40" s="43" t="n">
        <f aca="false">SUBTOTAL(9,D12:D37)</f>
        <v>118905</v>
      </c>
      <c r="E40" s="44" t="n">
        <f aca="false">SUBTOTAL(9,E12:E37)</f>
        <v>558407.311606033</v>
      </c>
      <c r="F40" s="32"/>
      <c r="G40" s="28"/>
      <c r="H40" s="9"/>
      <c r="I40" s="28"/>
      <c r="J40" s="9"/>
      <c r="K40" s="9"/>
      <c r="L40" s="9"/>
    </row>
    <row r="41" customFormat="false" ht="12.95" hidden="false" customHeight="true" outlineLevel="0" collapsed="false">
      <c r="A41" s="28"/>
      <c r="B41" s="29"/>
      <c r="C41" s="27"/>
      <c r="D41" s="27"/>
      <c r="E41" s="27"/>
      <c r="F41" s="54"/>
      <c r="G41" s="9"/>
      <c r="I41" s="9"/>
      <c r="J41" s="9"/>
      <c r="K41" s="9"/>
      <c r="L41" s="9"/>
    </row>
    <row r="42" customFormat="false" ht="14.1" hidden="false" customHeight="true" outlineLevel="0" collapsed="false"/>
    <row r="43" customFormat="false" ht="12.9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2" collapsed="false">
      <c r="A45" s="5" t="s">
        <v>0</v>
      </c>
      <c r="D45" s="6"/>
      <c r="I45" s="7" t="s">
        <v>1</v>
      </c>
      <c r="J45" s="8"/>
      <c r="K45" s="9"/>
    </row>
    <row r="46" customFormat="false" ht="13.5" hidden="false" customHeight="true" outlineLevel="2" collapsed="false">
      <c r="D46" s="6"/>
      <c r="I46" s="10" t="s">
        <v>2</v>
      </c>
      <c r="J46" s="11" t="n">
        <f aca="false">+J3</f>
        <v>2.63</v>
      </c>
      <c r="K46" s="12" t="n">
        <f aca="true">NOW()</f>
        <v>45926.9554874228</v>
      </c>
    </row>
    <row r="47" customFormat="false" ht="13.5" hidden="false" customHeight="true" outlineLevel="2" collapsed="false">
      <c r="A47" s="5" t="s">
        <v>3</v>
      </c>
      <c r="C47" s="5" t="s">
        <v>4</v>
      </c>
      <c r="D47" s="6"/>
      <c r="I47" s="13" t="s">
        <v>5</v>
      </c>
      <c r="J47" s="11" t="n">
        <f aca="false">+J4</f>
        <v>2.81</v>
      </c>
      <c r="K47" s="9"/>
    </row>
    <row r="48" customFormat="false" ht="13.5" hidden="false" customHeight="true" outlineLevel="1" collapsed="false">
      <c r="D48" s="6"/>
      <c r="I48" s="10" t="s">
        <v>6</v>
      </c>
      <c r="J48" s="11" t="n">
        <f aca="false">+J5</f>
        <v>2.9</v>
      </c>
      <c r="K48" s="9"/>
    </row>
    <row r="49" customFormat="false" ht="13.5" hidden="false" customHeight="true" outlineLevel="2" collapsed="false"/>
    <row r="50" customFormat="false" ht="13.5" hidden="false" customHeight="true" outlineLevel="2" collapsed="false">
      <c r="A50" s="14" t="s">
        <v>65</v>
      </c>
      <c r="B50" s="15"/>
    </row>
    <row r="51" customFormat="false" ht="13.5" hidden="false" customHeight="true" outlineLevel="2" collapsed="false">
      <c r="A51" s="9"/>
      <c r="C51" s="55" t="s">
        <v>66</v>
      </c>
      <c r="D51" s="18" t="s">
        <v>67</v>
      </c>
      <c r="E51" s="18" t="s">
        <v>68</v>
      </c>
      <c r="F51" s="19" t="s">
        <v>11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customFormat="false" ht="13.5" hidden="false" customHeight="true" outlineLevel="2" collapsed="false">
      <c r="A52" s="20" t="s">
        <v>12</v>
      </c>
      <c r="B52" s="22" t="s">
        <v>15</v>
      </c>
      <c r="C52" s="56" t="s">
        <v>69</v>
      </c>
      <c r="D52" s="24" t="s">
        <v>70</v>
      </c>
      <c r="E52" s="24" t="s">
        <v>71</v>
      </c>
      <c r="F52" s="24" t="s">
        <v>17</v>
      </c>
      <c r="G52" s="25" t="s">
        <v>18</v>
      </c>
      <c r="H52" s="26" t="s">
        <v>19</v>
      </c>
      <c r="I52" s="20" t="s">
        <v>20</v>
      </c>
      <c r="J52" s="9"/>
      <c r="K52" s="9"/>
      <c r="L52" s="9"/>
      <c r="N52" s="9"/>
      <c r="O52" s="9"/>
      <c r="P52" s="9"/>
      <c r="Q52" s="9"/>
      <c r="R52" s="9"/>
      <c r="S52" s="9"/>
    </row>
    <row r="53" customFormat="false" ht="13.5" hidden="false" customHeight="true" outlineLevel="2" collapsed="false">
      <c r="B53" s="3"/>
      <c r="C53" s="2"/>
    </row>
    <row r="54" customFormat="false" ht="13.5" hidden="false" customHeight="true" outlineLevel="1" collapsed="false">
      <c r="A54" s="20" t="s">
        <v>21</v>
      </c>
      <c r="B54" s="3"/>
      <c r="C54" s="2"/>
    </row>
    <row r="55" customFormat="false" ht="13.5" hidden="false" customHeight="true" outlineLevel="2" collapsed="false">
      <c r="A55" s="9" t="s">
        <v>72</v>
      </c>
      <c r="B55" s="27" t="n">
        <f aca="false">+Mojave!D40</f>
        <v>150635</v>
      </c>
      <c r="C55" s="29" t="n">
        <f aca="false">+B55*$J$4</f>
        <v>423284.35</v>
      </c>
      <c r="D55" s="16" t="n">
        <f aca="false">+Mojave!D47</f>
        <v>123817.92</v>
      </c>
      <c r="E55" s="16" t="n">
        <f aca="false">+C55-D55</f>
        <v>299466.43</v>
      </c>
      <c r="F55" s="35" t="n">
        <f aca="false">+Mojave!A40</f>
        <v>37130</v>
      </c>
      <c r="H55" s="9" t="s">
        <v>27</v>
      </c>
      <c r="I55" s="9" t="s">
        <v>73</v>
      </c>
      <c r="J55" s="9"/>
      <c r="K55" s="9"/>
    </row>
    <row r="56" customFormat="false" ht="15" hidden="false" customHeight="true" outlineLevel="2" collapsed="false">
      <c r="A56" s="9" t="s">
        <v>74</v>
      </c>
      <c r="B56" s="30" t="n">
        <f aca="false">+SoCal!F40</f>
        <v>174925</v>
      </c>
      <c r="C56" s="29" t="n">
        <f aca="false">+B56*$J$4</f>
        <v>491539.25</v>
      </c>
      <c r="D56" s="16" t="n">
        <f aca="false">+SoCal!D47</f>
        <v>532216.53</v>
      </c>
      <c r="E56" s="16" t="n">
        <f aca="false">+C56-D56</f>
        <v>-40677.28</v>
      </c>
      <c r="F56" s="35" t="n">
        <f aca="false">+SoCal!A40</f>
        <v>37130</v>
      </c>
      <c r="H56" s="9" t="s">
        <v>54</v>
      </c>
      <c r="I56" s="9"/>
      <c r="J56" s="9"/>
      <c r="K56" s="9"/>
    </row>
    <row r="57" customFormat="false" ht="15" hidden="false" customHeight="true" outlineLevel="2" collapsed="false">
      <c r="A57" s="9" t="s">
        <v>75</v>
      </c>
      <c r="B57" s="27" t="n">
        <f aca="false">+'El Paso'!C39</f>
        <v>64156</v>
      </c>
      <c r="C57" s="29" t="n">
        <f aca="false">+B57*$J$4</f>
        <v>180278.36</v>
      </c>
      <c r="D57" s="16" t="n">
        <f aca="false">+'El Paso'!C46</f>
        <v>-1583278.53</v>
      </c>
      <c r="E57" s="16" t="n">
        <f aca="false">+C57-D57</f>
        <v>1763556.89</v>
      </c>
      <c r="F57" s="35" t="n">
        <f aca="false">+'El Paso'!A39</f>
        <v>37130</v>
      </c>
      <c r="G57" s="57"/>
      <c r="H57" s="9" t="s">
        <v>27</v>
      </c>
      <c r="I57" s="9" t="s">
        <v>76</v>
      </c>
      <c r="J57" s="9"/>
      <c r="K57" s="9"/>
    </row>
    <row r="58" customFormat="false" ht="15" hidden="false" customHeight="true" outlineLevel="1" collapsed="false">
      <c r="A58" s="9" t="s">
        <v>77</v>
      </c>
      <c r="B58" s="37" t="n">
        <f aca="false">+'PG&amp;E'!D40</f>
        <v>40407</v>
      </c>
      <c r="C58" s="36" t="n">
        <f aca="false">+B58*$J$4</f>
        <v>113543.67</v>
      </c>
      <c r="D58" s="36" t="n">
        <f aca="false">+'PG&amp;E'!D47</f>
        <v>-112508.71</v>
      </c>
      <c r="E58" s="36" t="n">
        <f aca="false">+C58-D58</f>
        <v>226052.38</v>
      </c>
      <c r="F58" s="35" t="n">
        <f aca="false">+'PG&amp;E'!A40</f>
        <v>37130</v>
      </c>
      <c r="H58" s="9" t="s">
        <v>54</v>
      </c>
      <c r="I58" s="9"/>
      <c r="J58" s="9"/>
      <c r="K58" s="9"/>
    </row>
    <row r="59" customFormat="false" ht="15" hidden="false" customHeight="true" outlineLevel="0" collapsed="false">
      <c r="A59" s="19" t="s">
        <v>31</v>
      </c>
      <c r="B59" s="43" t="n">
        <f aca="false">SUBTOTAL(9,B55:B58)</f>
        <v>430123</v>
      </c>
      <c r="C59" s="42" t="n">
        <f aca="false">SUBTOTAL(9,C55:C58)</f>
        <v>1208645.63</v>
      </c>
      <c r="D59" s="42" t="n">
        <f aca="false">SUBTOTAL(9,D55:D58)</f>
        <v>-1039752.79</v>
      </c>
      <c r="E59" s="42" t="n">
        <f aca="false">SUBTOTAL(9,E55:E58)</f>
        <v>2248398.42</v>
      </c>
      <c r="F59" s="35"/>
      <c r="G59" s="33"/>
      <c r="H59" s="9"/>
      <c r="I59" s="9"/>
      <c r="J59" s="9"/>
      <c r="K59" s="9"/>
    </row>
    <row r="60" customFormat="false" ht="12.95" hidden="false" customHeight="true" outlineLevel="0" collapsed="false">
      <c r="B60" s="3"/>
      <c r="C60" s="2"/>
      <c r="G60" s="33"/>
    </row>
    <row r="61" customFormat="false" ht="15" hidden="false" customHeight="true" outlineLevel="0" collapsed="false">
      <c r="A61" s="20" t="s">
        <v>32</v>
      </c>
      <c r="B61" s="3"/>
      <c r="C61" s="2"/>
      <c r="G61" s="33"/>
    </row>
    <row r="62" customFormat="false" ht="12.75" hidden="false" customHeight="false" outlineLevel="0" collapsed="false">
      <c r="A62" s="28" t="s">
        <v>78</v>
      </c>
      <c r="B62" s="27" t="n">
        <f aca="false">+williams!J40</f>
        <v>282816</v>
      </c>
      <c r="C62" s="29" t="n">
        <f aca="false">+B62*$J$3</f>
        <v>743806.08</v>
      </c>
      <c r="D62" s="16" t="n">
        <f aca="false">+williams!D48</f>
        <v>1307070.81</v>
      </c>
      <c r="E62" s="16" t="n">
        <f aca="false">+C62-D62</f>
        <v>-563264.73</v>
      </c>
      <c r="F62" s="32" t="n">
        <f aca="false">+williams!A40</f>
        <v>37130</v>
      </c>
      <c r="G62" s="33" t="s">
        <v>34</v>
      </c>
      <c r="H62" s="28" t="s">
        <v>79</v>
      </c>
      <c r="I62" s="9" t="s">
        <v>80</v>
      </c>
      <c r="J62" s="9"/>
      <c r="K62" s="9"/>
    </row>
    <row r="63" customFormat="false" ht="12.75" hidden="false" customHeight="false" outlineLevel="0" collapsed="false">
      <c r="A63" s="9" t="s">
        <v>81</v>
      </c>
      <c r="B63" s="27" t="n">
        <f aca="false">+'Red C'!F43</f>
        <v>138607</v>
      </c>
      <c r="C63" s="46" t="n">
        <f aca="false">+B63*J3</f>
        <v>364536.41</v>
      </c>
      <c r="D63" s="58" t="n">
        <f aca="false">+'Red C'!D52</f>
        <v>667408.1</v>
      </c>
      <c r="E63" s="16" t="n">
        <f aca="false">+C63-D63</f>
        <v>-302871.69</v>
      </c>
      <c r="F63" s="32" t="n">
        <f aca="false">+'Red C'!B43</f>
        <v>37130</v>
      </c>
      <c r="G63" s="33" t="s">
        <v>34</v>
      </c>
      <c r="H63" s="9" t="s">
        <v>35</v>
      </c>
      <c r="I63" s="9" t="s">
        <v>82</v>
      </c>
      <c r="J63" s="9"/>
      <c r="K63" s="9"/>
    </row>
    <row r="64" customFormat="false" ht="12.75" hidden="false" customHeight="false" outlineLevel="0" collapsed="false">
      <c r="A64" s="9" t="s">
        <v>83</v>
      </c>
      <c r="B64" s="27" t="n">
        <f aca="false">+Amoco!D40</f>
        <v>96673</v>
      </c>
      <c r="C64" s="29" t="n">
        <f aca="false">+B64*$J$3</f>
        <v>254249.99</v>
      </c>
      <c r="D64" s="16" t="n">
        <f aca="false">+Amoco!D47</f>
        <v>521659.23</v>
      </c>
      <c r="E64" s="16" t="n">
        <f aca="false">+C64-D64</f>
        <v>-267409.24</v>
      </c>
      <c r="F64" s="35" t="n">
        <f aca="false">+Amoco!A40</f>
        <v>37130</v>
      </c>
      <c r="G64" s="33" t="s">
        <v>34</v>
      </c>
      <c r="H64" s="9" t="s">
        <v>35</v>
      </c>
      <c r="I64" s="9" t="s">
        <v>84</v>
      </c>
      <c r="J64" s="9"/>
      <c r="K64" s="9"/>
    </row>
    <row r="65" customFormat="false" ht="12.75" hidden="false" customHeight="false" outlineLevel="0" collapsed="false">
      <c r="A65" s="9" t="s">
        <v>85</v>
      </c>
      <c r="B65" s="27" t="n">
        <f aca="false">+'El Paso'!E39</f>
        <v>-65806</v>
      </c>
      <c r="C65" s="29" t="n">
        <f aca="false">+B65*$J$3</f>
        <v>-173069.78</v>
      </c>
      <c r="D65" s="16" t="n">
        <f aca="false">+'El Paso'!F46</f>
        <v>-642189.17</v>
      </c>
      <c r="E65" s="16" t="n">
        <f aca="false">+C65-D65</f>
        <v>469119.39</v>
      </c>
      <c r="F65" s="35" t="n">
        <f aca="false">+'El Paso'!A39</f>
        <v>37130</v>
      </c>
      <c r="G65" s="57"/>
      <c r="H65" s="9" t="s">
        <v>27</v>
      </c>
      <c r="I65" s="9" t="s">
        <v>76</v>
      </c>
      <c r="J65" s="9"/>
      <c r="K65" s="9"/>
    </row>
    <row r="66" customFormat="false" ht="12.75" hidden="false" customHeight="false" outlineLevel="0" collapsed="false">
      <c r="A66" s="9" t="s">
        <v>86</v>
      </c>
      <c r="B66" s="37" t="n">
        <f aca="false">+NW!$F$41</f>
        <v>72208</v>
      </c>
      <c r="C66" s="36" t="n">
        <f aca="false">+B66*$J$3</f>
        <v>189907.04</v>
      </c>
      <c r="D66" s="36" t="n">
        <f aca="false">+NW!E49</f>
        <v>-311303.7</v>
      </c>
      <c r="E66" s="36" t="n">
        <f aca="false">+C66-D66</f>
        <v>501210.74</v>
      </c>
      <c r="F66" s="32" t="n">
        <f aca="false">+NW!B41</f>
        <v>37130</v>
      </c>
      <c r="G66" s="33" t="s">
        <v>34</v>
      </c>
      <c r="H66" s="9" t="s">
        <v>35</v>
      </c>
      <c r="I66" s="9"/>
      <c r="J66" s="9"/>
      <c r="K66" s="9"/>
    </row>
    <row r="67" customFormat="false" ht="12.75" hidden="false" customHeight="false" outlineLevel="0" collapsed="false">
      <c r="A67" s="9" t="s">
        <v>87</v>
      </c>
      <c r="B67" s="43" t="n">
        <f aca="false">SUBTOTAL(9,B62:B66)</f>
        <v>524498</v>
      </c>
      <c r="C67" s="42" t="n">
        <f aca="false">SUBTOTAL(9,C62:C66)</f>
        <v>1379429.74</v>
      </c>
      <c r="D67" s="42" t="n">
        <f aca="false">SUBTOTAL(9,D62:D66)</f>
        <v>1542645.27</v>
      </c>
      <c r="E67" s="42" t="n">
        <f aca="false">SUBTOTAL(9,E62:E66)</f>
        <v>-163215.53</v>
      </c>
      <c r="F67" s="32"/>
      <c r="G67" s="33"/>
      <c r="H67" s="9"/>
      <c r="I67" s="9"/>
      <c r="J67" s="9"/>
      <c r="K67" s="9"/>
    </row>
    <row r="68" customFormat="false" ht="12.75" hidden="false" customHeight="false" outlineLevel="0" collapsed="false">
      <c r="B68" s="3"/>
      <c r="C68" s="2"/>
      <c r="G68" s="33"/>
    </row>
    <row r="69" customFormat="false" ht="12.75" hidden="false" customHeight="false" outlineLevel="0" collapsed="false">
      <c r="A69" s="20" t="s">
        <v>40</v>
      </c>
      <c r="B69" s="3"/>
      <c r="C69" s="2"/>
      <c r="G69" s="33"/>
    </row>
    <row r="70" customFormat="false" ht="12.75" hidden="false" customHeight="false" outlineLevel="0" collapsed="false">
      <c r="A70" s="9" t="s">
        <v>88</v>
      </c>
      <c r="B70" s="27" t="n">
        <f aca="false">+NGPL!F38</f>
        <v>132598</v>
      </c>
      <c r="C70" s="29" t="n">
        <f aca="false">+B70*$J$4</f>
        <v>372600.38</v>
      </c>
      <c r="D70" s="16" t="n">
        <f aca="false">+NGPL!D45</f>
        <v>335329.24</v>
      </c>
      <c r="E70" s="16" t="n">
        <f aca="false">+C70-D70</f>
        <v>37271.14</v>
      </c>
      <c r="F70" s="35" t="n">
        <f aca="false">+NGPL!A38</f>
        <v>37130</v>
      </c>
      <c r="G70" s="33"/>
      <c r="H70" s="9" t="s">
        <v>35</v>
      </c>
      <c r="I70" s="9"/>
      <c r="J70" s="9"/>
      <c r="K70" s="9"/>
    </row>
    <row r="71" customFormat="false" ht="12.75" hidden="false" customHeight="false" outlineLevel="0" collapsed="false">
      <c r="A71" s="9" t="s">
        <v>89</v>
      </c>
      <c r="B71" s="27" t="n">
        <f aca="false">+PEPL!D41</f>
        <v>64491</v>
      </c>
      <c r="C71" s="46" t="n">
        <f aca="false">+B71*$J$4</f>
        <v>181219.71</v>
      </c>
      <c r="D71" s="16" t="n">
        <f aca="false">+PEPL!D47</f>
        <v>307966.76</v>
      </c>
      <c r="E71" s="16" t="n">
        <f aca="false">+C71-D71</f>
        <v>-126747.05</v>
      </c>
      <c r="F71" s="35" t="n">
        <f aca="false">+PEPL!A41</f>
        <v>37130</v>
      </c>
      <c r="H71" s="9" t="s">
        <v>27</v>
      </c>
      <c r="I71" s="9" t="s">
        <v>90</v>
      </c>
      <c r="J71" s="9"/>
      <c r="K71" s="9"/>
    </row>
    <row r="72" customFormat="false" ht="12.75" hidden="false" customHeight="false" outlineLevel="0" collapsed="false">
      <c r="A72" s="9" t="s">
        <v>91</v>
      </c>
      <c r="B72" s="30" t="n">
        <f aca="false">+Oasis!D40</f>
        <v>43457</v>
      </c>
      <c r="C72" s="29" t="n">
        <f aca="false">+B72*$J$4</f>
        <v>122114.17</v>
      </c>
      <c r="D72" s="16" t="n">
        <f aca="false">+Oasis!D47</f>
        <v>-263727.17</v>
      </c>
      <c r="E72" s="16" t="n">
        <f aca="false">+C72-D72</f>
        <v>385841.34</v>
      </c>
      <c r="F72" s="35" t="n">
        <f aca="false">+Oasis!B40</f>
        <v>37130</v>
      </c>
      <c r="H72" s="9" t="s">
        <v>54</v>
      </c>
      <c r="I72" s="9"/>
      <c r="J72" s="9"/>
      <c r="K72" s="9"/>
    </row>
    <row r="73" customFormat="false" ht="12.75" hidden="false" customHeight="false" outlineLevel="0" collapsed="false">
      <c r="A73" s="9" t="s">
        <v>92</v>
      </c>
      <c r="B73" s="47" t="n">
        <f aca="false">+Lonestar!F42</f>
        <v>71070</v>
      </c>
      <c r="C73" s="36" t="n">
        <f aca="false">+B73*$J$4</f>
        <v>199706.7</v>
      </c>
      <c r="D73" s="36" t="n">
        <f aca="false">+Lonestar!D49</f>
        <v>67625.7</v>
      </c>
      <c r="E73" s="36" t="n">
        <f aca="false">+C73-D73</f>
        <v>132081</v>
      </c>
      <c r="F73" s="32" t="n">
        <f aca="false">+Lonestar!B42</f>
        <v>37130</v>
      </c>
      <c r="H73" s="9" t="s">
        <v>54</v>
      </c>
      <c r="I73" s="9"/>
      <c r="J73" s="9"/>
      <c r="K73" s="9"/>
    </row>
    <row r="74" customFormat="false" ht="12.75" hidden="false" customHeight="false" outlineLevel="0" collapsed="false">
      <c r="A74" s="19" t="s">
        <v>93</v>
      </c>
      <c r="B74" s="48" t="n">
        <f aca="false">SUBTOTAL(9,B70:B73)</f>
        <v>311616</v>
      </c>
      <c r="C74" s="42" t="n">
        <f aca="false">SUBTOTAL(9,C70:C73)</f>
        <v>875640.96</v>
      </c>
      <c r="D74" s="42" t="n">
        <f aca="false">SUBTOTAL(9,D70:D73)</f>
        <v>447194.53</v>
      </c>
      <c r="E74" s="42" t="n">
        <f aca="false">SUBTOTAL(9,E70:E73)</f>
        <v>428446.43</v>
      </c>
      <c r="F74" s="32"/>
      <c r="H74" s="9"/>
      <c r="I74" s="9"/>
      <c r="J74" s="9"/>
      <c r="K74" s="9"/>
    </row>
    <row r="75" customFormat="false" ht="12.75" hidden="false" customHeight="false" outlineLevel="0" collapsed="false">
      <c r="B75" s="3"/>
      <c r="C75" s="2"/>
    </row>
    <row r="76" customFormat="false" ht="12.75" hidden="false" customHeight="false" outlineLevel="0" collapsed="false">
      <c r="A76" s="19" t="s">
        <v>94</v>
      </c>
      <c r="B76" s="48" t="n">
        <f aca="false">SUBTOTAL(9,B55:B73)</f>
        <v>1266237</v>
      </c>
      <c r="C76" s="42" t="n">
        <f aca="false">SUBTOTAL(9,C55:C73)</f>
        <v>3463716.33</v>
      </c>
      <c r="D76" s="42" t="n">
        <f aca="false">SUBTOTAL(9,D55:D73)</f>
        <v>950087.01</v>
      </c>
      <c r="E76" s="42" t="n">
        <f aca="false">SUBTOTAL(9,E55:E73)</f>
        <v>2513629.32</v>
      </c>
      <c r="F76" s="32"/>
      <c r="H76" s="9"/>
      <c r="I76" s="9"/>
      <c r="J76" s="9"/>
      <c r="K76" s="9"/>
    </row>
    <row r="77" customFormat="false" ht="12.75" hidden="false" customHeight="false" outlineLevel="0" collapsed="false">
      <c r="A77" s="9"/>
      <c r="B77" s="29"/>
      <c r="C77" s="30"/>
      <c r="D77" s="29"/>
      <c r="E77" s="29"/>
      <c r="F77" s="32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36"/>
      <c r="C78" s="27"/>
      <c r="D78" s="59"/>
      <c r="E78" s="59"/>
      <c r="F78" s="32"/>
      <c r="G78" s="9"/>
      <c r="I78" s="9"/>
      <c r="J78" s="9"/>
      <c r="K78" s="9"/>
      <c r="L78" s="9"/>
    </row>
    <row r="79" customFormat="false" ht="13.5" hidden="false" customHeight="false" outlineLevel="0" collapsed="false">
      <c r="A79" s="19" t="s">
        <v>95</v>
      </c>
      <c r="B79" s="60" t="n">
        <f aca="false">+C76+B40</f>
        <v>5362493.59</v>
      </c>
      <c r="C79" s="30"/>
      <c r="D79" s="29"/>
      <c r="E79" s="29"/>
      <c r="F79" s="54"/>
      <c r="H79" s="9"/>
      <c r="I79" s="9"/>
      <c r="J79" s="9"/>
      <c r="K79" s="9"/>
    </row>
    <row r="80" customFormat="false" ht="13.5" hidden="false" customHeight="false" outlineLevel="0" collapsed="false">
      <c r="A80" s="19" t="s">
        <v>96</v>
      </c>
      <c r="B80" s="30" t="n">
        <f aca="false">+B76+C40</f>
        <v>1943549.31160603</v>
      </c>
      <c r="C80" s="27"/>
      <c r="D80" s="61"/>
      <c r="E80" s="59"/>
      <c r="F80" s="54"/>
      <c r="G80" s="9"/>
      <c r="H80" s="9"/>
      <c r="I80" s="9"/>
      <c r="J80" s="9"/>
    </row>
    <row r="81" customFormat="false" ht="12.75" hidden="false" customHeight="false" outlineLevel="0" collapsed="false">
      <c r="A81" s="9"/>
      <c r="B81" s="16"/>
      <c r="C81" s="62"/>
      <c r="D81" s="59"/>
      <c r="E81" s="59"/>
      <c r="F81" s="28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27"/>
      <c r="E82" s="9"/>
      <c r="F82" s="9"/>
      <c r="G82" s="9"/>
      <c r="H82" s="9"/>
      <c r="I82" s="9"/>
    </row>
    <row r="83" customFormat="false" ht="12.75" hidden="false" customHeight="false" outlineLevel="0" collapsed="false">
      <c r="A83" s="9"/>
      <c r="B83" s="16"/>
      <c r="C83" s="27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9"/>
      <c r="B84" s="58"/>
      <c r="C84" s="62"/>
      <c r="D84" s="63"/>
      <c r="E84" s="9"/>
      <c r="F84" s="9"/>
      <c r="G84" s="9"/>
      <c r="H84" s="9"/>
    </row>
    <row r="90" customFormat="false" ht="12.75" hidden="false" customHeight="false" outlineLevel="0" collapsed="false">
      <c r="A90" s="9"/>
      <c r="B90" s="58"/>
      <c r="C90" s="27"/>
      <c r="D90" s="31"/>
      <c r="E90" s="9"/>
      <c r="F90" s="9"/>
      <c r="G90" s="9"/>
      <c r="H90" s="9"/>
    </row>
    <row r="91" customFormat="false" ht="12.75" hidden="false" customHeight="false" outlineLevel="0" collapsed="false">
      <c r="A91" s="9"/>
      <c r="B91" s="16"/>
      <c r="C91" s="30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30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58"/>
      <c r="C93" s="30"/>
      <c r="D93" s="31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8"/>
      <c r="C94" s="27"/>
      <c r="D94" s="31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8"/>
      <c r="C95" s="27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8"/>
      <c r="C96" s="64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16"/>
      <c r="C97" s="27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C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7"/>
      <c r="D128" s="9"/>
      <c r="E128" s="9"/>
      <c r="F128" s="9"/>
      <c r="G128" s="9"/>
      <c r="H12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E35" activeCellId="3" sqref="E38 C38 B10 E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17.28"/>
    <col collapsed="false" customWidth="true" hidden="false" outlineLevel="0" max="2" min="2" style="128" width="11.85"/>
    <col collapsed="false" customWidth="true" hidden="false" outlineLevel="0" max="5" min="3" style="129" width="10.71"/>
    <col collapsed="false" customWidth="true" hidden="false" outlineLevel="0" max="6" min="6" style="5" width="13.41"/>
    <col collapsed="false" customWidth="true" hidden="false" outlineLevel="0" max="7" min="7" style="221" width="13.99"/>
    <col collapsed="false" customWidth="true" hidden="false" outlineLevel="0" max="8" min="8" style="22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21"/>
    </row>
    <row r="2" customFormat="false" ht="12.75" hidden="false" customHeight="false" outlineLevel="0" collapsed="false">
      <c r="A2" s="144" t="s">
        <v>140</v>
      </c>
      <c r="B2" s="108"/>
      <c r="C2" s="189"/>
      <c r="D2" s="189"/>
      <c r="E2" s="189"/>
      <c r="F2" s="19"/>
      <c r="G2" s="19"/>
      <c r="H2" s="144"/>
      <c r="I2" s="108"/>
      <c r="J2" s="108"/>
      <c r="K2" s="19"/>
      <c r="M2" s="144"/>
      <c r="N2" s="108"/>
      <c r="O2" s="108"/>
      <c r="P2" s="19"/>
      <c r="Q2" s="144"/>
      <c r="R2" s="108"/>
      <c r="S2" s="108"/>
      <c r="T2" s="19"/>
    </row>
    <row r="3" customFormat="false" ht="12.75" hidden="false" customHeight="false" outlineLevel="0" collapsed="false">
      <c r="A3" s="18"/>
      <c r="B3" s="108"/>
      <c r="C3" s="189"/>
      <c r="D3" s="189"/>
      <c r="E3" s="189"/>
      <c r="F3" s="19"/>
      <c r="G3" s="19"/>
      <c r="H3" s="18"/>
      <c r="I3" s="108"/>
      <c r="J3" s="108"/>
      <c r="K3" s="19"/>
      <c r="M3" s="18"/>
      <c r="N3" s="108"/>
      <c r="O3" s="108"/>
      <c r="P3" s="19"/>
      <c r="Q3" s="18"/>
      <c r="R3" s="108"/>
      <c r="S3" s="108"/>
      <c r="T3" s="19"/>
    </row>
    <row r="4" customFormat="false" ht="12.75" hidden="false" customHeight="false" outlineLevel="0" collapsed="false">
      <c r="A4" s="123"/>
      <c r="B4" s="222" t="n">
        <v>500538</v>
      </c>
      <c r="C4" s="108"/>
      <c r="D4" s="222" t="n">
        <v>78121</v>
      </c>
      <c r="E4" s="108"/>
      <c r="F4" s="19"/>
      <c r="G4" s="19"/>
      <c r="H4" s="123"/>
      <c r="I4" s="108"/>
      <c r="J4" s="108"/>
      <c r="K4" s="19"/>
      <c r="M4" s="123"/>
      <c r="N4" s="108"/>
      <c r="O4" s="108"/>
      <c r="P4" s="19"/>
      <c r="Q4" s="123"/>
      <c r="R4" s="108"/>
      <c r="S4" s="108"/>
      <c r="T4" s="19"/>
      <c r="U4" s="123"/>
      <c r="V4" s="222"/>
      <c r="W4" s="108"/>
      <c r="X4" s="19"/>
      <c r="Y4" s="123"/>
      <c r="Z4" s="222"/>
      <c r="AA4" s="108"/>
      <c r="AB4" s="19"/>
      <c r="AC4" s="123"/>
      <c r="AD4" s="222" t="n">
        <v>500538</v>
      </c>
      <c r="AE4" s="108"/>
      <c r="AF4" s="19"/>
      <c r="AG4" s="123" t="n">
        <v>36495</v>
      </c>
      <c r="AH4" s="222" t="n">
        <v>500538</v>
      </c>
      <c r="AI4" s="108"/>
      <c r="AJ4" s="19"/>
      <c r="AK4" s="123" t="n">
        <v>36526</v>
      </c>
      <c r="AL4" s="222" t="n">
        <v>500538</v>
      </c>
      <c r="AM4" s="108"/>
      <c r="AN4" s="19"/>
      <c r="AO4" s="123" t="n">
        <v>36557</v>
      </c>
      <c r="AP4" s="222" t="n">
        <v>500538</v>
      </c>
      <c r="AQ4" s="108"/>
      <c r="AR4" s="19"/>
      <c r="AS4" s="123" t="n">
        <v>36586</v>
      </c>
      <c r="AT4" s="222" t="n">
        <v>500538</v>
      </c>
      <c r="AU4" s="108"/>
      <c r="AV4" s="19"/>
    </row>
    <row r="5" customFormat="false" ht="12.75" hidden="false" customHeight="false" outlineLevel="0" collapsed="false">
      <c r="A5" s="18"/>
      <c r="B5" s="192"/>
      <c r="C5" s="192"/>
      <c r="D5" s="192"/>
      <c r="E5" s="192"/>
      <c r="F5" s="100" t="s">
        <v>117</v>
      </c>
      <c r="G5" s="100"/>
      <c r="H5" s="18"/>
      <c r="I5" s="192"/>
      <c r="J5" s="192"/>
      <c r="K5" s="18"/>
      <c r="L5" s="223"/>
      <c r="M5" s="18"/>
      <c r="N5" s="192"/>
      <c r="O5" s="192"/>
      <c r="P5" s="18"/>
      <c r="Q5" s="18"/>
      <c r="R5" s="192"/>
      <c r="S5" s="192"/>
      <c r="T5" s="18"/>
      <c r="U5" s="18"/>
      <c r="V5" s="192"/>
      <c r="W5" s="192"/>
      <c r="X5" s="18"/>
      <c r="Y5" s="18"/>
      <c r="Z5" s="192"/>
      <c r="AA5" s="192"/>
      <c r="AB5" s="18"/>
      <c r="AC5" s="18"/>
      <c r="AD5" s="192"/>
      <c r="AE5" s="192" t="s">
        <v>117</v>
      </c>
      <c r="AF5" s="18"/>
      <c r="AG5" s="18"/>
      <c r="AH5" s="192"/>
      <c r="AI5" s="192" t="s">
        <v>117</v>
      </c>
      <c r="AJ5" s="18"/>
      <c r="AK5" s="18"/>
      <c r="AL5" s="192"/>
      <c r="AM5" s="192" t="s">
        <v>117</v>
      </c>
      <c r="AN5" s="18"/>
      <c r="AO5" s="18"/>
      <c r="AP5" s="192"/>
      <c r="AQ5" s="192" t="s">
        <v>117</v>
      </c>
      <c r="AR5" s="18"/>
      <c r="AS5" s="18"/>
      <c r="AT5" s="192"/>
      <c r="AU5" s="192" t="s">
        <v>117</v>
      </c>
      <c r="AV5" s="18"/>
    </row>
    <row r="6" customFormat="false" ht="12.75" hidden="false" customHeight="false" outlineLevel="0" collapsed="false">
      <c r="B6" s="145" t="s">
        <v>114</v>
      </c>
      <c r="C6" s="145" t="s">
        <v>115</v>
      </c>
      <c r="D6" s="145" t="s">
        <v>114</v>
      </c>
      <c r="E6" s="145" t="s">
        <v>115</v>
      </c>
      <c r="F6" s="101" t="s">
        <v>141</v>
      </c>
      <c r="G6" s="24"/>
      <c r="H6" s="127"/>
      <c r="I6" s="224"/>
      <c r="J6" s="225"/>
      <c r="K6" s="101"/>
      <c r="L6" s="223"/>
      <c r="M6" s="127"/>
      <c r="N6" s="145"/>
      <c r="O6" s="145"/>
      <c r="P6" s="101"/>
      <c r="Q6" s="127"/>
      <c r="R6" s="145"/>
      <c r="S6" s="145"/>
      <c r="T6" s="101"/>
      <c r="U6" s="127"/>
      <c r="V6" s="145"/>
      <c r="W6" s="145"/>
      <c r="X6" s="101"/>
      <c r="Y6" s="127"/>
      <c r="Z6" s="145"/>
      <c r="AA6" s="145"/>
      <c r="AB6" s="101"/>
      <c r="AC6" s="127"/>
      <c r="AD6" s="145" t="s">
        <v>135</v>
      </c>
      <c r="AE6" s="145" t="s">
        <v>136</v>
      </c>
      <c r="AF6" s="101" t="s">
        <v>141</v>
      </c>
      <c r="AG6" s="127"/>
      <c r="AH6" s="145" t="s">
        <v>135</v>
      </c>
      <c r="AI6" s="145" t="s">
        <v>136</v>
      </c>
      <c r="AJ6" s="101" t="s">
        <v>141</v>
      </c>
      <c r="AK6" s="127"/>
      <c r="AL6" s="145" t="s">
        <v>135</v>
      </c>
      <c r="AM6" s="145" t="s">
        <v>136</v>
      </c>
      <c r="AN6" s="101" t="s">
        <v>141</v>
      </c>
      <c r="AO6" s="127"/>
      <c r="AP6" s="145" t="s">
        <v>135</v>
      </c>
      <c r="AQ6" s="145" t="s">
        <v>136</v>
      </c>
      <c r="AR6" s="101" t="s">
        <v>141</v>
      </c>
      <c r="AS6" s="127"/>
      <c r="AT6" s="145" t="s">
        <v>135</v>
      </c>
      <c r="AU6" s="145" t="s">
        <v>136</v>
      </c>
      <c r="AV6" s="101" t="s">
        <v>141</v>
      </c>
    </row>
    <row r="7" customFormat="false" ht="12.75" hidden="false" customHeight="false" outlineLevel="0" collapsed="false">
      <c r="B7" s="108"/>
      <c r="C7" s="108"/>
      <c r="D7" s="108"/>
      <c r="E7" s="108"/>
      <c r="F7" s="108"/>
      <c r="G7" s="104"/>
      <c r="H7" s="127"/>
      <c r="I7" s="191"/>
      <c r="J7" s="159"/>
      <c r="K7" s="108"/>
      <c r="L7" s="223"/>
      <c r="M7" s="127"/>
      <c r="N7" s="108"/>
      <c r="O7" s="108"/>
      <c r="P7" s="108"/>
      <c r="Q7" s="127"/>
      <c r="R7" s="108"/>
      <c r="S7" s="108"/>
      <c r="T7" s="108"/>
      <c r="U7" s="127"/>
      <c r="V7" s="108"/>
      <c r="W7" s="108"/>
      <c r="X7" s="108"/>
      <c r="Y7" s="127"/>
      <c r="Z7" s="108"/>
      <c r="AA7" s="108"/>
      <c r="AB7" s="108"/>
      <c r="AC7" s="127"/>
      <c r="AD7" s="108"/>
      <c r="AE7" s="108"/>
      <c r="AF7" s="108"/>
      <c r="AG7" s="127"/>
      <c r="AH7" s="108"/>
      <c r="AI7" s="108"/>
      <c r="AJ7" s="108"/>
      <c r="AK7" s="127"/>
      <c r="AL7" s="108"/>
      <c r="AM7" s="108"/>
      <c r="AN7" s="108"/>
      <c r="AO7" s="127"/>
      <c r="AP7" s="108"/>
      <c r="AQ7" s="108"/>
      <c r="AR7" s="108"/>
      <c r="AS7" s="127"/>
      <c r="AT7" s="108"/>
      <c r="AU7" s="108"/>
      <c r="AV7" s="108"/>
    </row>
    <row r="8" customFormat="false" ht="12.75" hidden="false" customHeight="false" outlineLevel="0" collapsed="false">
      <c r="A8" s="127" t="n">
        <v>1</v>
      </c>
      <c r="B8" s="108" t="n">
        <v>135583</v>
      </c>
      <c r="C8" s="108" t="n">
        <v>136569</v>
      </c>
      <c r="D8" s="108" t="n">
        <v>13121</v>
      </c>
      <c r="E8" s="108" t="n">
        <v>13535</v>
      </c>
      <c r="F8" s="108" t="n">
        <f aca="false">+C8-B8+E8-D8</f>
        <v>1400</v>
      </c>
      <c r="G8" s="104"/>
      <c r="H8" s="127"/>
      <c r="I8" s="191"/>
      <c r="J8" s="159"/>
      <c r="K8" s="108"/>
      <c r="L8" s="223"/>
      <c r="M8" s="127"/>
      <c r="N8" s="108"/>
      <c r="O8" s="108"/>
      <c r="P8" s="108"/>
      <c r="Q8" s="127"/>
      <c r="R8" s="108"/>
      <c r="S8" s="108"/>
      <c r="T8" s="108"/>
      <c r="U8" s="127"/>
      <c r="V8" s="108"/>
      <c r="W8" s="108"/>
      <c r="X8" s="108"/>
      <c r="Y8" s="127"/>
      <c r="Z8" s="108"/>
      <c r="AA8" s="108"/>
      <c r="AB8" s="108"/>
      <c r="AC8" s="127"/>
      <c r="AD8" s="108" t="n">
        <v>90127</v>
      </c>
      <c r="AE8" s="108" t="n">
        <v>82104</v>
      </c>
      <c r="AF8" s="108" t="n">
        <f aca="false">+AE8-AD8</f>
        <v>-8023</v>
      </c>
      <c r="AG8" s="127" t="n">
        <v>1</v>
      </c>
      <c r="AH8" s="108" t="n">
        <v>85280</v>
      </c>
      <c r="AI8" s="108" t="n">
        <v>90048</v>
      </c>
      <c r="AJ8" s="108" t="n">
        <f aca="false">+AI8-AH8</f>
        <v>4768</v>
      </c>
      <c r="AK8" s="127" t="n">
        <v>1</v>
      </c>
      <c r="AL8" s="108" t="n">
        <v>129902</v>
      </c>
      <c r="AM8" s="108" t="n">
        <v>129590</v>
      </c>
      <c r="AN8" s="108" t="n">
        <f aca="false">+AM8-AL8</f>
        <v>-312</v>
      </c>
      <c r="AO8" s="127" t="n">
        <v>1</v>
      </c>
      <c r="AP8" s="108" t="n">
        <v>172290</v>
      </c>
      <c r="AQ8" s="108" t="n">
        <v>178308</v>
      </c>
      <c r="AR8" s="108" t="n">
        <f aca="false">+AQ8-AP8</f>
        <v>6018</v>
      </c>
      <c r="AS8" s="127" t="n">
        <v>1</v>
      </c>
      <c r="AT8" s="108" t="n">
        <v>167385</v>
      </c>
      <c r="AU8" s="108" t="n">
        <v>169213</v>
      </c>
      <c r="AV8" s="108" t="n">
        <f aca="false">+AU8-AT8</f>
        <v>1828</v>
      </c>
    </row>
    <row r="9" customFormat="false" ht="12.75" hidden="false" customHeight="false" outlineLevel="0" collapsed="false">
      <c r="A9" s="127" t="n">
        <v>2</v>
      </c>
      <c r="B9" s="108" t="n">
        <v>136387</v>
      </c>
      <c r="C9" s="108" t="n">
        <v>135717</v>
      </c>
      <c r="D9" s="108" t="n">
        <v>13025</v>
      </c>
      <c r="E9" s="108" t="n">
        <v>13535</v>
      </c>
      <c r="F9" s="108" t="n">
        <f aca="false">+C9-B9+E9-D9</f>
        <v>-160</v>
      </c>
      <c r="G9" s="104"/>
      <c r="H9" s="127"/>
      <c r="I9" s="191"/>
      <c r="J9" s="159"/>
      <c r="K9" s="108"/>
      <c r="L9" s="223"/>
      <c r="M9" s="127"/>
      <c r="N9" s="108"/>
      <c r="O9" s="108"/>
      <c r="P9" s="108"/>
      <c r="Q9" s="127"/>
      <c r="R9" s="108"/>
      <c r="S9" s="108"/>
      <c r="T9" s="108"/>
      <c r="U9" s="127"/>
      <c r="V9" s="108"/>
      <c r="W9" s="108"/>
      <c r="X9" s="108"/>
      <c r="Y9" s="127"/>
      <c r="Z9" s="108"/>
      <c r="AA9" s="108"/>
      <c r="AB9" s="108"/>
      <c r="AC9" s="127"/>
      <c r="AD9" s="108" t="n">
        <v>82193</v>
      </c>
      <c r="AE9" s="108" t="n">
        <v>85058</v>
      </c>
      <c r="AF9" s="108" t="n">
        <f aca="false">+AE9-AD9</f>
        <v>2865</v>
      </c>
      <c r="AG9" s="127" t="n">
        <v>2</v>
      </c>
      <c r="AH9" s="108" t="n">
        <v>85760</v>
      </c>
      <c r="AI9" s="108" t="n">
        <v>85437</v>
      </c>
      <c r="AJ9" s="108" t="n">
        <f aca="false">+AI9-AH9</f>
        <v>-323</v>
      </c>
      <c r="AK9" s="127" t="n">
        <v>2</v>
      </c>
      <c r="AL9" s="108" t="n">
        <v>128605</v>
      </c>
      <c r="AM9" s="108" t="n">
        <v>131126</v>
      </c>
      <c r="AN9" s="108" t="n">
        <f aca="false">+AM9-AL9</f>
        <v>2521</v>
      </c>
      <c r="AO9" s="127" t="n">
        <v>2</v>
      </c>
      <c r="AP9" s="108" t="n">
        <v>175368</v>
      </c>
      <c r="AQ9" s="108" t="n">
        <v>183908</v>
      </c>
      <c r="AR9" s="108" t="n">
        <f aca="false">+AQ9-AP9</f>
        <v>8540</v>
      </c>
      <c r="AS9" s="127" t="n">
        <v>2</v>
      </c>
      <c r="AT9" s="108" t="n">
        <v>170184</v>
      </c>
      <c r="AU9" s="108" t="n">
        <v>169526</v>
      </c>
      <c r="AV9" s="108" t="n">
        <f aca="false">+AU9-AT9</f>
        <v>-658</v>
      </c>
    </row>
    <row r="10" customFormat="false" ht="12.75" hidden="false" customHeight="false" outlineLevel="0" collapsed="false">
      <c r="A10" s="127" t="n">
        <v>3</v>
      </c>
      <c r="B10" s="108" t="n">
        <v>136601</v>
      </c>
      <c r="C10" s="108" t="n">
        <v>134408</v>
      </c>
      <c r="D10" s="108" t="n">
        <v>12516</v>
      </c>
      <c r="E10" s="108" t="n">
        <v>13535</v>
      </c>
      <c r="F10" s="108" t="n">
        <f aca="false">+C10-B10+E10-D10</f>
        <v>-1174</v>
      </c>
      <c r="G10" s="104"/>
      <c r="H10" s="127"/>
      <c r="I10" s="191"/>
      <c r="J10" s="159"/>
      <c r="K10" s="108"/>
      <c r="L10" s="223"/>
      <c r="M10" s="127"/>
      <c r="N10" s="108"/>
      <c r="O10" s="108"/>
      <c r="P10" s="108"/>
      <c r="Q10" s="127"/>
      <c r="R10" s="108"/>
      <c r="S10" s="108"/>
      <c r="T10" s="108"/>
      <c r="U10" s="127"/>
      <c r="V10" s="108"/>
      <c r="W10" s="108"/>
      <c r="X10" s="108"/>
      <c r="Y10" s="127"/>
      <c r="Z10" s="108"/>
      <c r="AA10" s="108"/>
      <c r="AB10" s="108"/>
      <c r="AC10" s="127"/>
      <c r="AD10" s="108" t="n">
        <v>77703</v>
      </c>
      <c r="AE10" s="108" t="n">
        <v>79135</v>
      </c>
      <c r="AF10" s="108" t="n">
        <f aca="false">+AE10-AD10</f>
        <v>1432</v>
      </c>
      <c r="AG10" s="127" t="n">
        <v>3</v>
      </c>
      <c r="AH10" s="108" t="n">
        <v>101183</v>
      </c>
      <c r="AI10" s="108" t="n">
        <v>103385</v>
      </c>
      <c r="AJ10" s="108" t="n">
        <f aca="false">+AI10-AH10</f>
        <v>2202</v>
      </c>
      <c r="AK10" s="127" t="n">
        <v>3</v>
      </c>
      <c r="AL10" s="108" t="n">
        <v>118612</v>
      </c>
      <c r="AM10" s="108" t="n">
        <v>121101</v>
      </c>
      <c r="AN10" s="108" t="n">
        <f aca="false">+AM10-AL10</f>
        <v>2489</v>
      </c>
      <c r="AO10" s="127" t="n">
        <v>3</v>
      </c>
      <c r="AP10" s="108" t="n">
        <v>173456</v>
      </c>
      <c r="AQ10" s="108" t="n">
        <v>173309</v>
      </c>
      <c r="AR10" s="108" t="n">
        <f aca="false">+AQ10-AP10</f>
        <v>-147</v>
      </c>
      <c r="AS10" s="127" t="n">
        <v>3</v>
      </c>
      <c r="AT10" s="108" t="n">
        <v>169674</v>
      </c>
      <c r="AU10" s="108" t="n">
        <v>169203</v>
      </c>
      <c r="AV10" s="108" t="n">
        <f aca="false">+AU10-AT10</f>
        <v>-471</v>
      </c>
    </row>
    <row r="11" customFormat="false" ht="12.75" hidden="false" customHeight="false" outlineLevel="0" collapsed="false">
      <c r="A11" s="127" t="n">
        <v>4</v>
      </c>
      <c r="B11" s="108" t="n">
        <v>135865</v>
      </c>
      <c r="C11" s="108" t="n">
        <v>133237</v>
      </c>
      <c r="D11" s="108" t="n">
        <v>12626</v>
      </c>
      <c r="E11" s="108" t="n">
        <v>13033</v>
      </c>
      <c r="F11" s="108" t="n">
        <f aca="false">+C11-B11+E11-D11</f>
        <v>-2221</v>
      </c>
      <c r="G11" s="104"/>
      <c r="H11" s="127"/>
      <c r="I11" s="133"/>
      <c r="J11" s="159"/>
      <c r="K11" s="108"/>
      <c r="L11" s="223"/>
      <c r="M11" s="127"/>
      <c r="N11" s="108"/>
      <c r="O11" s="108"/>
      <c r="P11" s="108"/>
      <c r="Q11" s="127"/>
      <c r="R11" s="108"/>
      <c r="S11" s="108"/>
      <c r="T11" s="108"/>
      <c r="U11" s="127"/>
      <c r="V11" s="108"/>
      <c r="W11" s="108"/>
      <c r="X11" s="108"/>
      <c r="Y11" s="127"/>
      <c r="Z11" s="108"/>
      <c r="AA11" s="108"/>
      <c r="AB11" s="108"/>
      <c r="AC11" s="127"/>
      <c r="AD11" s="108" t="n">
        <v>83833</v>
      </c>
      <c r="AE11" s="108" t="n">
        <v>84350</v>
      </c>
      <c r="AF11" s="108" t="n">
        <f aca="false">+AE11-AD11</f>
        <v>517</v>
      </c>
      <c r="AG11" s="127" t="n">
        <v>4</v>
      </c>
      <c r="AH11" s="108" t="n">
        <v>109515</v>
      </c>
      <c r="AI11" s="108" t="n">
        <v>109943</v>
      </c>
      <c r="AJ11" s="108" t="n">
        <f aca="false">+AI11-AH11</f>
        <v>428</v>
      </c>
      <c r="AK11" s="127" t="n">
        <v>4</v>
      </c>
      <c r="AL11" s="108" t="n">
        <v>114483</v>
      </c>
      <c r="AM11" s="108" t="n">
        <v>119711</v>
      </c>
      <c r="AN11" s="108" t="n">
        <f aca="false">+AM11-AL11</f>
        <v>5228</v>
      </c>
      <c r="AO11" s="127" t="n">
        <v>4</v>
      </c>
      <c r="AP11" s="108" t="n">
        <v>171128</v>
      </c>
      <c r="AQ11" s="108" t="n">
        <v>174677</v>
      </c>
      <c r="AR11" s="108" t="n">
        <f aca="false">+AQ11-AP11</f>
        <v>3549</v>
      </c>
      <c r="AS11" s="127" t="n">
        <v>4</v>
      </c>
      <c r="AT11" s="108" t="n">
        <v>168897</v>
      </c>
      <c r="AU11" s="108" t="n">
        <v>175969</v>
      </c>
      <c r="AV11" s="108" t="n">
        <f aca="false">+AU11-AT11</f>
        <v>7072</v>
      </c>
    </row>
    <row r="12" customFormat="false" ht="12.75" hidden="false" customHeight="false" outlineLevel="0" collapsed="false">
      <c r="A12" s="127" t="n">
        <v>5</v>
      </c>
      <c r="B12" s="108" t="n">
        <v>133471</v>
      </c>
      <c r="C12" s="108" t="n">
        <v>133237</v>
      </c>
      <c r="D12" s="108" t="n">
        <v>12524</v>
      </c>
      <c r="E12" s="108" t="n">
        <v>13033</v>
      </c>
      <c r="F12" s="108" t="n">
        <f aca="false">+C12-B12+E12-D12</f>
        <v>275</v>
      </c>
      <c r="G12" s="104"/>
      <c r="H12" s="127"/>
      <c r="I12" s="159"/>
      <c r="J12" s="108"/>
      <c r="K12" s="108"/>
      <c r="L12" s="223"/>
      <c r="M12" s="127"/>
      <c r="N12" s="108"/>
      <c r="O12" s="108"/>
      <c r="P12" s="108"/>
      <c r="Q12" s="127"/>
      <c r="R12" s="108"/>
      <c r="S12" s="108"/>
      <c r="T12" s="108"/>
      <c r="U12" s="127"/>
      <c r="V12" s="108"/>
      <c r="W12" s="108"/>
      <c r="X12" s="108"/>
      <c r="Y12" s="127"/>
      <c r="Z12" s="108"/>
      <c r="AA12" s="108"/>
      <c r="AB12" s="108"/>
      <c r="AC12" s="127"/>
      <c r="AD12" s="108" t="n">
        <v>87296</v>
      </c>
      <c r="AE12" s="108" t="n">
        <v>90518</v>
      </c>
      <c r="AF12" s="108" t="n">
        <f aca="false">+AE12-AD12</f>
        <v>3222</v>
      </c>
      <c r="AG12" s="127" t="n">
        <v>5</v>
      </c>
      <c r="AH12" s="108" t="n">
        <v>108361</v>
      </c>
      <c r="AI12" s="108" t="n">
        <v>108593</v>
      </c>
      <c r="AJ12" s="108" t="n">
        <f aca="false">+AI12-AH12</f>
        <v>232</v>
      </c>
      <c r="AK12" s="127" t="n">
        <v>5</v>
      </c>
      <c r="AL12" s="108" t="n">
        <v>100931</v>
      </c>
      <c r="AM12" s="108" t="n">
        <v>123114</v>
      </c>
      <c r="AN12" s="108" t="n">
        <f aca="false">+AM12-AL12</f>
        <v>22183</v>
      </c>
      <c r="AO12" s="127" t="n">
        <v>5</v>
      </c>
      <c r="AP12" s="108" t="n">
        <v>169630</v>
      </c>
      <c r="AQ12" s="108" t="n">
        <v>166360</v>
      </c>
      <c r="AR12" s="108" t="n">
        <f aca="false">+AQ12-AP12</f>
        <v>-3270</v>
      </c>
      <c r="AS12" s="127" t="n">
        <v>5</v>
      </c>
      <c r="AT12" s="108" t="n">
        <v>176704</v>
      </c>
      <c r="AU12" s="108" t="n">
        <v>173380</v>
      </c>
      <c r="AV12" s="108" t="n">
        <f aca="false">+AU12-AT12</f>
        <v>-3324</v>
      </c>
    </row>
    <row r="13" customFormat="false" ht="12.75" hidden="false" customHeight="false" outlineLevel="0" collapsed="false">
      <c r="A13" s="127" t="n">
        <v>6</v>
      </c>
      <c r="B13" s="108" t="n">
        <v>134006</v>
      </c>
      <c r="C13" s="108" t="n">
        <v>133237</v>
      </c>
      <c r="D13" s="108" t="n">
        <v>13295</v>
      </c>
      <c r="E13" s="108" t="n">
        <v>13033</v>
      </c>
      <c r="F13" s="108" t="n">
        <f aca="false">+C13-B13+E13-D13</f>
        <v>-1031</v>
      </c>
      <c r="G13" s="104"/>
      <c r="H13" s="127"/>
      <c r="I13" s="159"/>
      <c r="J13" s="159"/>
      <c r="K13" s="108"/>
      <c r="L13" s="223"/>
      <c r="M13" s="127"/>
      <c r="N13" s="108"/>
      <c r="O13" s="108"/>
      <c r="P13" s="108"/>
      <c r="Q13" s="127"/>
      <c r="R13" s="108"/>
      <c r="S13" s="108"/>
      <c r="T13" s="108"/>
      <c r="U13" s="127"/>
      <c r="V13" s="108"/>
      <c r="W13" s="108"/>
      <c r="X13" s="108"/>
      <c r="Y13" s="127"/>
      <c r="Z13" s="108"/>
      <c r="AA13" s="108"/>
      <c r="AB13" s="108"/>
      <c r="AC13" s="127"/>
      <c r="AD13" s="108" t="n">
        <v>105367</v>
      </c>
      <c r="AE13" s="108" t="n">
        <v>105940</v>
      </c>
      <c r="AF13" s="108" t="n">
        <f aca="false">+AE13-AD13</f>
        <v>573</v>
      </c>
      <c r="AG13" s="127" t="n">
        <v>6</v>
      </c>
      <c r="AH13" s="108" t="n">
        <v>111639</v>
      </c>
      <c r="AI13" s="108" t="n">
        <v>115193</v>
      </c>
      <c r="AJ13" s="108" t="n">
        <f aca="false">+AI13-AH13</f>
        <v>3554</v>
      </c>
      <c r="AK13" s="127" t="n">
        <v>6</v>
      </c>
      <c r="AL13" s="108" t="n">
        <v>109406</v>
      </c>
      <c r="AM13" s="108" t="n">
        <v>113090</v>
      </c>
      <c r="AN13" s="108" t="n">
        <f aca="false">+AM13-AL13</f>
        <v>3684</v>
      </c>
      <c r="AO13" s="127" t="n">
        <v>6</v>
      </c>
      <c r="AP13" s="108" t="n">
        <v>167764</v>
      </c>
      <c r="AQ13" s="108" t="n">
        <v>167719</v>
      </c>
      <c r="AR13" s="108" t="n">
        <f aca="false">+AQ13-AP13</f>
        <v>-45</v>
      </c>
      <c r="AS13" s="127" t="n">
        <v>6</v>
      </c>
      <c r="AT13" s="108" t="n">
        <v>136216</v>
      </c>
      <c r="AU13" s="108" t="n">
        <v>176410</v>
      </c>
      <c r="AV13" s="108" t="n">
        <f aca="false">+AU13-AT13</f>
        <v>40194</v>
      </c>
    </row>
    <row r="14" customFormat="false" ht="12.75" hidden="false" customHeight="false" outlineLevel="0" collapsed="false">
      <c r="A14" s="127" t="n">
        <v>7</v>
      </c>
      <c r="B14" s="108" t="n">
        <v>134912</v>
      </c>
      <c r="C14" s="108" t="n">
        <v>135829</v>
      </c>
      <c r="D14" s="108" t="n">
        <v>13535</v>
      </c>
      <c r="E14" s="108" t="n">
        <v>12532</v>
      </c>
      <c r="F14" s="108" t="n">
        <f aca="false">+C14-B14+E14-D14</f>
        <v>-86</v>
      </c>
      <c r="G14" s="104"/>
      <c r="H14" s="127"/>
      <c r="I14" s="159"/>
      <c r="J14" s="108"/>
      <c r="K14" s="108"/>
      <c r="L14" s="223"/>
      <c r="M14" s="127"/>
      <c r="N14" s="108"/>
      <c r="O14" s="108"/>
      <c r="P14" s="108"/>
      <c r="Q14" s="127"/>
      <c r="R14" s="108"/>
      <c r="S14" s="108"/>
      <c r="T14" s="108"/>
      <c r="U14" s="127"/>
      <c r="V14" s="108"/>
      <c r="W14" s="108"/>
      <c r="X14" s="108"/>
      <c r="Y14" s="127"/>
      <c r="Z14" s="108"/>
      <c r="AA14" s="108"/>
      <c r="AB14" s="108"/>
      <c r="AC14" s="127"/>
      <c r="AD14" s="108" t="n">
        <v>101440</v>
      </c>
      <c r="AE14" s="108" t="n">
        <v>101940</v>
      </c>
      <c r="AF14" s="108" t="n">
        <f aca="false">+AE14-AD14</f>
        <v>500</v>
      </c>
      <c r="AG14" s="127" t="n">
        <v>7</v>
      </c>
      <c r="AH14" s="108" t="n">
        <v>97086</v>
      </c>
      <c r="AI14" s="108" t="n">
        <v>98950</v>
      </c>
      <c r="AJ14" s="108" t="n">
        <f aca="false">+AI14-AH14</f>
        <v>1864</v>
      </c>
      <c r="AK14" s="127" t="n">
        <v>7</v>
      </c>
      <c r="AL14" s="108" t="n">
        <v>127221</v>
      </c>
      <c r="AM14" s="108" t="n">
        <v>127625</v>
      </c>
      <c r="AN14" s="108" t="n">
        <f aca="false">+AM14-AL14</f>
        <v>404</v>
      </c>
      <c r="AO14" s="127" t="n">
        <v>7</v>
      </c>
      <c r="AP14" s="108" t="n">
        <v>167835</v>
      </c>
      <c r="AQ14" s="108" t="n">
        <v>167817</v>
      </c>
      <c r="AR14" s="108" t="n">
        <f aca="false">+AQ14-AP14</f>
        <v>-18</v>
      </c>
      <c r="AS14" s="127" t="n">
        <v>7</v>
      </c>
      <c r="AT14" s="108" t="n">
        <v>175529</v>
      </c>
      <c r="AU14" s="108" t="n">
        <v>171185</v>
      </c>
      <c r="AV14" s="108" t="n">
        <f aca="false">+AU14-AT14</f>
        <v>-4344</v>
      </c>
    </row>
    <row r="15" customFormat="false" ht="12.75" hidden="false" customHeight="false" outlineLevel="0" collapsed="false">
      <c r="A15" s="127" t="n">
        <v>8</v>
      </c>
      <c r="B15" s="108" t="n">
        <v>134512</v>
      </c>
      <c r="C15" s="108" t="n">
        <v>132577</v>
      </c>
      <c r="D15" s="108" t="n">
        <v>13538</v>
      </c>
      <c r="E15" s="108" t="n">
        <v>12532</v>
      </c>
      <c r="F15" s="108" t="n">
        <f aca="false">+C15-B15+E15-D15</f>
        <v>-2941</v>
      </c>
      <c r="G15" s="104"/>
      <c r="H15" s="127"/>
      <c r="I15" s="159"/>
      <c r="J15" s="108"/>
      <c r="K15" s="108"/>
      <c r="L15" s="223"/>
      <c r="M15" s="127"/>
      <c r="N15" s="108"/>
      <c r="O15" s="108"/>
      <c r="P15" s="108"/>
      <c r="Q15" s="127"/>
      <c r="R15" s="108"/>
      <c r="S15" s="108"/>
      <c r="T15" s="108"/>
      <c r="U15" s="127"/>
      <c r="V15" s="108"/>
      <c r="W15" s="108"/>
      <c r="X15" s="108"/>
      <c r="Y15" s="127"/>
      <c r="Z15" s="108"/>
      <c r="AA15" s="108"/>
      <c r="AB15" s="108"/>
      <c r="AC15" s="127"/>
      <c r="AD15" s="108" t="n">
        <v>98057</v>
      </c>
      <c r="AE15" s="108" t="n">
        <v>98304</v>
      </c>
      <c r="AF15" s="108" t="n">
        <f aca="false">+AE15-AD15</f>
        <v>247</v>
      </c>
      <c r="AG15" s="127" t="n">
        <v>8</v>
      </c>
      <c r="AH15" s="108" t="n">
        <v>92901</v>
      </c>
      <c r="AI15" s="108" t="n">
        <v>108735</v>
      </c>
      <c r="AJ15" s="108" t="n">
        <f aca="false">+AI15-AH15</f>
        <v>15834</v>
      </c>
      <c r="AK15" s="127" t="n">
        <v>8</v>
      </c>
      <c r="AL15" s="108" t="n">
        <v>114657</v>
      </c>
      <c r="AM15" s="108" t="n">
        <v>112594</v>
      </c>
      <c r="AN15" s="108" t="n">
        <f aca="false">+AM15-AL15</f>
        <v>-2063</v>
      </c>
      <c r="AO15" s="127" t="n">
        <v>8</v>
      </c>
      <c r="AP15" s="108" t="n">
        <v>178511</v>
      </c>
      <c r="AQ15" s="108" t="n">
        <v>180748</v>
      </c>
      <c r="AR15" s="108" t="n">
        <f aca="false">+AQ15-AP15</f>
        <v>2237</v>
      </c>
      <c r="AS15" s="127" t="n">
        <v>8</v>
      </c>
      <c r="AT15" s="108" t="n">
        <v>170291</v>
      </c>
      <c r="AU15" s="108" t="n">
        <v>172851</v>
      </c>
      <c r="AV15" s="108" t="n">
        <f aca="false">+AU15-AT15</f>
        <v>2560</v>
      </c>
    </row>
    <row r="16" customFormat="false" ht="12.75" hidden="false" customHeight="false" outlineLevel="0" collapsed="false">
      <c r="A16" s="127" t="n">
        <v>9</v>
      </c>
      <c r="B16" s="108" t="n">
        <v>136608</v>
      </c>
      <c r="C16" s="108" t="n">
        <v>136963</v>
      </c>
      <c r="D16" s="108" t="n">
        <v>13485</v>
      </c>
      <c r="E16" s="108" t="n">
        <v>12532</v>
      </c>
      <c r="F16" s="108" t="n">
        <f aca="false">+C16-B16+E16-D16</f>
        <v>-598</v>
      </c>
      <c r="G16" s="104"/>
      <c r="H16" s="127"/>
      <c r="I16" s="159"/>
      <c r="J16" s="108"/>
      <c r="K16" s="108"/>
      <c r="L16" s="223"/>
      <c r="M16" s="127"/>
      <c r="N16" s="108"/>
      <c r="O16" s="108"/>
      <c r="P16" s="108"/>
      <c r="Q16" s="127"/>
      <c r="R16" s="108"/>
      <c r="S16" s="108"/>
      <c r="T16" s="108"/>
      <c r="U16" s="127"/>
      <c r="V16" s="108"/>
      <c r="W16" s="108"/>
      <c r="X16" s="108"/>
      <c r="Y16" s="127"/>
      <c r="Z16" s="108"/>
      <c r="AA16" s="108"/>
      <c r="AB16" s="108"/>
      <c r="AC16" s="127"/>
      <c r="AD16" s="108" t="n">
        <v>87213</v>
      </c>
      <c r="AE16" s="108" t="n">
        <v>94093</v>
      </c>
      <c r="AF16" s="108" t="n">
        <f aca="false">+AE16-AD16</f>
        <v>6880</v>
      </c>
      <c r="AG16" s="127" t="n">
        <v>9</v>
      </c>
      <c r="AH16" s="108" t="n">
        <v>94766</v>
      </c>
      <c r="AI16" s="108" t="n">
        <v>105186</v>
      </c>
      <c r="AJ16" s="108" t="n">
        <f aca="false">+AI16-AH16</f>
        <v>10420</v>
      </c>
      <c r="AK16" s="127" t="n">
        <v>9</v>
      </c>
      <c r="AL16" s="108" t="n">
        <v>114565</v>
      </c>
      <c r="AM16" s="108" t="n">
        <v>112594</v>
      </c>
      <c r="AN16" s="108" t="n">
        <f aca="false">+AM16-AL16</f>
        <v>-1971</v>
      </c>
      <c r="AO16" s="127" t="n">
        <v>9</v>
      </c>
      <c r="AP16" s="108" t="n">
        <v>174336</v>
      </c>
      <c r="AQ16" s="108" t="n">
        <f aca="false">170451+2791</f>
        <v>173242</v>
      </c>
      <c r="AR16" s="108" t="n">
        <f aca="false">+AQ16-AP16</f>
        <v>-1094</v>
      </c>
      <c r="AS16" s="127" t="n">
        <v>9</v>
      </c>
      <c r="AT16" s="108" t="n">
        <v>153140</v>
      </c>
      <c r="AU16" s="108" t="n">
        <f aca="false">144546+5760</f>
        <v>150306</v>
      </c>
      <c r="AV16" s="108" t="n">
        <f aca="false">+AU16-AT16</f>
        <v>-2834</v>
      </c>
    </row>
    <row r="17" customFormat="false" ht="12.75" hidden="false" customHeight="false" outlineLevel="0" collapsed="false">
      <c r="A17" s="127" t="n">
        <v>10</v>
      </c>
      <c r="B17" s="108" t="n">
        <v>143113</v>
      </c>
      <c r="C17" s="108" t="n">
        <v>141646</v>
      </c>
      <c r="D17" s="108" t="n">
        <v>13377</v>
      </c>
      <c r="E17" s="108" t="n">
        <v>12532</v>
      </c>
      <c r="F17" s="108" t="n">
        <f aca="false">+C17-B17+E17-D17</f>
        <v>-2312</v>
      </c>
      <c r="G17" s="104"/>
      <c r="H17" s="127"/>
      <c r="I17" s="159"/>
      <c r="J17" s="108"/>
      <c r="K17" s="108"/>
      <c r="L17" s="223"/>
      <c r="M17" s="127"/>
      <c r="N17" s="108"/>
      <c r="O17" s="108"/>
      <c r="P17" s="108"/>
      <c r="Q17" s="127"/>
      <c r="R17" s="108"/>
      <c r="S17" s="108"/>
      <c r="T17" s="108"/>
      <c r="U17" s="127"/>
      <c r="V17" s="108"/>
      <c r="W17" s="108"/>
      <c r="X17" s="108"/>
      <c r="Y17" s="127"/>
      <c r="Z17" s="108"/>
      <c r="AA17" s="108"/>
      <c r="AB17" s="108"/>
      <c r="AC17" s="127"/>
      <c r="AD17" s="108" t="n">
        <v>85026</v>
      </c>
      <c r="AE17" s="108" t="n">
        <v>96676</v>
      </c>
      <c r="AF17" s="108" t="n">
        <f aca="false">+AE17-AD17</f>
        <v>11650</v>
      </c>
      <c r="AG17" s="127" t="n">
        <v>10</v>
      </c>
      <c r="AH17" s="108" t="n">
        <v>112558</v>
      </c>
      <c r="AI17" s="108" t="n">
        <v>113310</v>
      </c>
      <c r="AJ17" s="108" t="n">
        <f aca="false">+AI17-AH17</f>
        <v>752</v>
      </c>
      <c r="AK17" s="127" t="n">
        <v>10</v>
      </c>
      <c r="AL17" s="108" t="n">
        <v>114225</v>
      </c>
      <c r="AM17" s="108" t="n">
        <v>114599</v>
      </c>
      <c r="AN17" s="108" t="n">
        <f aca="false">+AM17-AL17</f>
        <v>374</v>
      </c>
      <c r="AO17" s="127" t="n">
        <v>10</v>
      </c>
      <c r="AP17" s="108" t="n">
        <v>161862</v>
      </c>
      <c r="AQ17" s="108" t="n">
        <v>158717</v>
      </c>
      <c r="AR17" s="108" t="n">
        <f aca="false">+AQ17-AP17</f>
        <v>-3145</v>
      </c>
      <c r="AS17" s="127" t="n">
        <v>10</v>
      </c>
      <c r="AT17" s="108" t="n">
        <v>169575</v>
      </c>
      <c r="AU17" s="108" t="n">
        <v>170607</v>
      </c>
      <c r="AV17" s="108" t="n">
        <f aca="false">+AU17-AT17</f>
        <v>1032</v>
      </c>
    </row>
    <row r="18" customFormat="false" ht="12.75" hidden="false" customHeight="false" outlineLevel="0" collapsed="false">
      <c r="A18" s="127" t="n">
        <v>11</v>
      </c>
      <c r="B18" s="108" t="n">
        <v>141898</v>
      </c>
      <c r="C18" s="108" t="n">
        <v>141616</v>
      </c>
      <c r="D18" s="108" t="n">
        <v>13005</v>
      </c>
      <c r="E18" s="108" t="n">
        <v>12532</v>
      </c>
      <c r="F18" s="108" t="n">
        <f aca="false">+C18-B18+E18-D18</f>
        <v>-755</v>
      </c>
      <c r="G18" s="104"/>
      <c r="H18" s="127"/>
      <c r="I18" s="108"/>
      <c r="J18" s="108"/>
      <c r="K18" s="108"/>
      <c r="L18" s="223"/>
      <c r="M18" s="127"/>
      <c r="N18" s="108"/>
      <c r="O18" s="108"/>
      <c r="P18" s="108"/>
      <c r="Q18" s="127"/>
      <c r="R18" s="108"/>
      <c r="S18" s="108"/>
      <c r="T18" s="108"/>
      <c r="U18" s="127"/>
      <c r="V18" s="108"/>
      <c r="W18" s="108"/>
      <c r="X18" s="108"/>
      <c r="Y18" s="127"/>
      <c r="Z18" s="108"/>
      <c r="AA18" s="108"/>
      <c r="AB18" s="108"/>
      <c r="AC18" s="127"/>
      <c r="AD18" s="108" t="n">
        <v>85017</v>
      </c>
      <c r="AE18" s="108" t="n">
        <v>82841</v>
      </c>
      <c r="AF18" s="108" t="n">
        <f aca="false">+AE18-AD18</f>
        <v>-2176</v>
      </c>
      <c r="AG18" s="127" t="n">
        <v>11</v>
      </c>
      <c r="AH18" s="108" t="n">
        <v>101279</v>
      </c>
      <c r="AI18" s="108" t="n">
        <v>102214</v>
      </c>
      <c r="AJ18" s="108" t="n">
        <f aca="false">+AI18-AH18</f>
        <v>935</v>
      </c>
      <c r="AK18" s="127" t="n">
        <v>11</v>
      </c>
      <c r="AL18" s="108" t="n">
        <v>115735</v>
      </c>
      <c r="AM18" s="108" t="n">
        <v>115494</v>
      </c>
      <c r="AN18" s="108" t="n">
        <f aca="false">+AM18-AL18</f>
        <v>-241</v>
      </c>
      <c r="AO18" s="127" t="n">
        <v>11</v>
      </c>
      <c r="AP18" s="108" t="n">
        <v>184527</v>
      </c>
      <c r="AQ18" s="108" t="n">
        <v>185065</v>
      </c>
      <c r="AR18" s="108" t="n">
        <f aca="false">+AQ18-AP18</f>
        <v>538</v>
      </c>
      <c r="AS18" s="127" t="n">
        <v>11</v>
      </c>
      <c r="AT18" s="108" t="n">
        <v>176731</v>
      </c>
      <c r="AU18" s="108" t="n">
        <v>175819</v>
      </c>
      <c r="AV18" s="108" t="n">
        <f aca="false">+AU18-AT18</f>
        <v>-912</v>
      </c>
    </row>
    <row r="19" customFormat="false" ht="12.75" hidden="false" customHeight="false" outlineLevel="0" collapsed="false">
      <c r="A19" s="127" t="n">
        <v>12</v>
      </c>
      <c r="B19" s="108" t="n">
        <v>146840</v>
      </c>
      <c r="C19" s="108" t="n">
        <v>146894</v>
      </c>
      <c r="D19" s="108" t="n">
        <v>12622</v>
      </c>
      <c r="E19" s="108" t="n">
        <v>12532</v>
      </c>
      <c r="F19" s="108" t="n">
        <f aca="false">+C19-B19+E19-D19</f>
        <v>-36</v>
      </c>
      <c r="G19" s="104"/>
      <c r="H19" s="127"/>
      <c r="I19" s="108"/>
      <c r="J19" s="108"/>
      <c r="K19" s="108"/>
      <c r="L19" s="223"/>
      <c r="M19" s="127"/>
      <c r="N19" s="108"/>
      <c r="O19" s="108"/>
      <c r="P19" s="108"/>
      <c r="Q19" s="127"/>
      <c r="R19" s="108"/>
      <c r="S19" s="108"/>
      <c r="T19" s="108"/>
      <c r="U19" s="127"/>
      <c r="V19" s="108"/>
      <c r="W19" s="108"/>
      <c r="X19" s="108"/>
      <c r="Y19" s="127"/>
      <c r="Z19" s="108"/>
      <c r="AA19" s="108"/>
      <c r="AB19" s="108"/>
      <c r="AC19" s="127"/>
      <c r="AD19" s="108" t="n">
        <v>82741</v>
      </c>
      <c r="AE19" s="108" t="n">
        <v>88828</v>
      </c>
      <c r="AF19" s="108" t="n">
        <f aca="false">+AE19-AD19</f>
        <v>6087</v>
      </c>
      <c r="AG19" s="127" t="n">
        <v>12</v>
      </c>
      <c r="AH19" s="108" t="n">
        <v>98830</v>
      </c>
      <c r="AI19" s="108" t="n">
        <v>100234</v>
      </c>
      <c r="AJ19" s="108" t="n">
        <f aca="false">+AI19-AH19</f>
        <v>1404</v>
      </c>
      <c r="AK19" s="127" t="n">
        <v>12</v>
      </c>
      <c r="AL19" s="108" t="n">
        <v>114055</v>
      </c>
      <c r="AM19" s="108" t="n">
        <v>113964</v>
      </c>
      <c r="AN19" s="108" t="n">
        <f aca="false">+AM19-AL19</f>
        <v>-91</v>
      </c>
      <c r="AO19" s="127" t="n">
        <v>12</v>
      </c>
      <c r="AP19" s="108" t="n">
        <v>182892</v>
      </c>
      <c r="AQ19" s="108" t="n">
        <v>187831</v>
      </c>
      <c r="AR19" s="108" t="n">
        <f aca="false">+AQ19-AP19</f>
        <v>4939</v>
      </c>
      <c r="AS19" s="127" t="n">
        <v>12</v>
      </c>
      <c r="AT19" s="108" t="n">
        <v>178779</v>
      </c>
      <c r="AU19" s="108" t="n">
        <v>174779</v>
      </c>
      <c r="AV19" s="108" t="n">
        <f aca="false">+AU19-AT19</f>
        <v>-4000</v>
      </c>
    </row>
    <row r="20" customFormat="false" ht="12.75" hidden="false" customHeight="false" outlineLevel="0" collapsed="false">
      <c r="A20" s="127" t="n">
        <v>13</v>
      </c>
      <c r="B20" s="108" t="n">
        <v>138816</v>
      </c>
      <c r="C20" s="108" t="n">
        <v>137624</v>
      </c>
      <c r="D20" s="108" t="n">
        <v>11029</v>
      </c>
      <c r="E20" s="108" t="n">
        <v>12532</v>
      </c>
      <c r="F20" s="108" t="n">
        <f aca="false">+C20-B20+E20-D20</f>
        <v>311</v>
      </c>
      <c r="G20" s="226"/>
      <c r="H20" s="127"/>
      <c r="I20" s="108"/>
      <c r="J20" s="108"/>
      <c r="K20" s="108"/>
      <c r="L20" s="223"/>
      <c r="M20" s="127"/>
      <c r="N20" s="108"/>
      <c r="O20" s="108"/>
      <c r="P20" s="108"/>
      <c r="Q20" s="127"/>
      <c r="R20" s="108"/>
      <c r="S20" s="108"/>
      <c r="T20" s="108"/>
      <c r="U20" s="127"/>
      <c r="V20" s="108"/>
      <c r="W20" s="108"/>
      <c r="X20" s="108"/>
      <c r="Y20" s="127"/>
      <c r="Z20" s="108"/>
      <c r="AA20" s="108"/>
      <c r="AB20" s="108"/>
      <c r="AC20" s="127"/>
      <c r="AD20" s="108" t="n">
        <v>100290</v>
      </c>
      <c r="AE20" s="108" t="n">
        <v>103318</v>
      </c>
      <c r="AF20" s="108" t="n">
        <f aca="false">+AE20-AD20</f>
        <v>3028</v>
      </c>
      <c r="AG20" s="127" t="n">
        <v>13</v>
      </c>
      <c r="AH20" s="108" t="n">
        <v>90169</v>
      </c>
      <c r="AI20" s="108" t="n">
        <v>90019</v>
      </c>
      <c r="AJ20" s="108" t="n">
        <f aca="false">+AI20-AH20</f>
        <v>-150</v>
      </c>
      <c r="AK20" s="127" t="n">
        <v>13</v>
      </c>
      <c r="AL20" s="108" t="n">
        <v>117712</v>
      </c>
      <c r="AM20" s="108" t="n">
        <v>116959</v>
      </c>
      <c r="AN20" s="108" t="n">
        <f aca="false">+AM20-AL20</f>
        <v>-753</v>
      </c>
      <c r="AO20" s="127" t="n">
        <v>13</v>
      </c>
      <c r="AP20" s="108" t="n">
        <v>175373</v>
      </c>
      <c r="AQ20" s="108" t="n">
        <v>175571</v>
      </c>
      <c r="AR20" s="108" t="n">
        <f aca="false">+AQ20-AP20</f>
        <v>198</v>
      </c>
      <c r="AS20" s="127" t="n">
        <v>13</v>
      </c>
      <c r="AT20" s="108" t="n">
        <v>163585</v>
      </c>
      <c r="AU20" s="108" t="n">
        <v>165793</v>
      </c>
      <c r="AV20" s="108" t="n">
        <f aca="false">+AU20-AT20</f>
        <v>2208</v>
      </c>
    </row>
    <row r="21" customFormat="false" ht="12.75" hidden="false" customHeight="false" outlineLevel="0" collapsed="false">
      <c r="A21" s="127" t="n">
        <v>14</v>
      </c>
      <c r="B21" s="108" t="n">
        <v>147189</v>
      </c>
      <c r="C21" s="108" t="n">
        <v>146894</v>
      </c>
      <c r="D21" s="108" t="n">
        <v>12935</v>
      </c>
      <c r="E21" s="108" t="n">
        <v>12532</v>
      </c>
      <c r="F21" s="108" t="n">
        <f aca="false">+C21-B21+E21-D21</f>
        <v>-698</v>
      </c>
      <c r="G21" s="223"/>
      <c r="H21" s="127"/>
      <c r="I21" s="108"/>
      <c r="J21" s="108"/>
      <c r="K21" s="108"/>
      <c r="L21" s="223"/>
      <c r="M21" s="127"/>
      <c r="N21" s="108"/>
      <c r="O21" s="108"/>
      <c r="P21" s="108"/>
      <c r="Q21" s="127"/>
      <c r="R21" s="108"/>
      <c r="S21" s="108"/>
      <c r="T21" s="108"/>
      <c r="U21" s="127"/>
      <c r="V21" s="108"/>
      <c r="W21" s="108"/>
      <c r="X21" s="108"/>
      <c r="Y21" s="127"/>
      <c r="Z21" s="108"/>
      <c r="AA21" s="108"/>
      <c r="AB21" s="108"/>
      <c r="AC21" s="127"/>
      <c r="AD21" s="108" t="n">
        <v>92454</v>
      </c>
      <c r="AE21" s="108" t="n">
        <v>90422</v>
      </c>
      <c r="AF21" s="108" t="n">
        <f aca="false">+AE21-AD21</f>
        <v>-2032</v>
      </c>
      <c r="AG21" s="127" t="n">
        <v>14</v>
      </c>
      <c r="AH21" s="108" t="n">
        <v>80341</v>
      </c>
      <c r="AI21" s="108" t="n">
        <v>73685</v>
      </c>
      <c r="AJ21" s="108" t="n">
        <f aca="false">+AI21-AH21</f>
        <v>-6656</v>
      </c>
      <c r="AK21" s="127" t="n">
        <v>14</v>
      </c>
      <c r="AL21" s="108" t="n">
        <v>99714</v>
      </c>
      <c r="AM21" s="108" t="n">
        <v>124528</v>
      </c>
      <c r="AN21" s="108" t="n">
        <f aca="false">+AM21-AL21</f>
        <v>24814</v>
      </c>
      <c r="AO21" s="127" t="n">
        <v>14</v>
      </c>
      <c r="AP21" s="108" t="n">
        <v>174348</v>
      </c>
      <c r="AQ21" s="108" t="n">
        <f aca="false">174033+12</f>
        <v>174045</v>
      </c>
      <c r="AR21" s="108" t="n">
        <f aca="false">+AQ21-AP21</f>
        <v>-303</v>
      </c>
      <c r="AS21" s="127" t="n">
        <v>14</v>
      </c>
      <c r="AT21" s="108" t="n">
        <v>171172</v>
      </c>
      <c r="AU21" s="108" t="n">
        <v>170890</v>
      </c>
      <c r="AV21" s="108" t="n">
        <f aca="false">+AU21-AT21</f>
        <v>-282</v>
      </c>
    </row>
    <row r="22" customFormat="false" ht="12.75" hidden="false" customHeight="false" outlineLevel="0" collapsed="false">
      <c r="A22" s="127" t="n">
        <v>15</v>
      </c>
      <c r="B22" s="108" t="n">
        <v>140386</v>
      </c>
      <c r="C22" s="108" t="n">
        <v>140915</v>
      </c>
      <c r="D22" s="108" t="n">
        <v>12623</v>
      </c>
      <c r="E22" s="108" t="n">
        <v>12532</v>
      </c>
      <c r="F22" s="108" t="n">
        <f aca="false">+C22-B22+E22-D22</f>
        <v>438</v>
      </c>
      <c r="G22" s="223"/>
      <c r="H22" s="127"/>
      <c r="I22" s="108"/>
      <c r="J22" s="108"/>
      <c r="K22" s="108"/>
      <c r="L22" s="223"/>
      <c r="M22" s="127"/>
      <c r="N22" s="108"/>
      <c r="O22" s="108"/>
      <c r="P22" s="108"/>
      <c r="Q22" s="127"/>
      <c r="R22" s="108"/>
      <c r="S22" s="108"/>
      <c r="T22" s="108"/>
      <c r="U22" s="127"/>
      <c r="V22" s="108"/>
      <c r="W22" s="108"/>
      <c r="X22" s="108"/>
      <c r="Y22" s="127"/>
      <c r="Z22" s="108"/>
      <c r="AA22" s="108"/>
      <c r="AB22" s="108"/>
      <c r="AC22" s="127"/>
      <c r="AD22" s="108" t="n">
        <v>92819</v>
      </c>
      <c r="AE22" s="108" t="n">
        <v>93953</v>
      </c>
      <c r="AF22" s="108" t="n">
        <f aca="false">+AE22-AD22</f>
        <v>1134</v>
      </c>
      <c r="AG22" s="127" t="n">
        <v>15</v>
      </c>
      <c r="AH22" s="108" t="n">
        <v>100392</v>
      </c>
      <c r="AI22" s="108" t="n">
        <v>101034</v>
      </c>
      <c r="AJ22" s="108" t="n">
        <f aca="false">+AI22-AH22</f>
        <v>642</v>
      </c>
      <c r="AK22" s="127" t="n">
        <v>15</v>
      </c>
      <c r="AL22" s="108" t="n">
        <v>120773</v>
      </c>
      <c r="AM22" s="108" t="n">
        <v>120718</v>
      </c>
      <c r="AN22" s="108" t="n">
        <f aca="false">+AM22-AL22</f>
        <v>-55</v>
      </c>
      <c r="AO22" s="127" t="n">
        <v>15</v>
      </c>
      <c r="AP22" s="108" t="n">
        <v>171703</v>
      </c>
      <c r="AQ22" s="108" t="n">
        <f aca="false">164762+7841</f>
        <v>172603</v>
      </c>
      <c r="AR22" s="108" t="n">
        <f aca="false">+AQ22-AP22</f>
        <v>900</v>
      </c>
      <c r="AS22" s="127" t="n">
        <v>15</v>
      </c>
      <c r="AT22" s="108" t="n">
        <v>174118</v>
      </c>
      <c r="AU22" s="108" t="n">
        <v>173261</v>
      </c>
      <c r="AV22" s="108" t="n">
        <f aca="false">+AU22-AT22</f>
        <v>-857</v>
      </c>
    </row>
    <row r="23" customFormat="false" ht="12.75" hidden="false" customHeight="false" outlineLevel="0" collapsed="false">
      <c r="A23" s="227" t="n">
        <v>16</v>
      </c>
      <c r="B23" s="108" t="n">
        <v>141948</v>
      </c>
      <c r="C23" s="108" t="n">
        <v>141882</v>
      </c>
      <c r="D23" s="108" t="n">
        <v>12641</v>
      </c>
      <c r="E23" s="108" t="n">
        <v>12532</v>
      </c>
      <c r="F23" s="108" t="n">
        <f aca="false">+C23-B23+E23-D23</f>
        <v>-175</v>
      </c>
      <c r="G23" s="223"/>
      <c r="H23" s="227"/>
      <c r="I23" s="108"/>
      <c r="J23" s="108"/>
      <c r="K23" s="108"/>
      <c r="L23" s="223"/>
      <c r="M23" s="227"/>
      <c r="N23" s="108"/>
      <c r="O23" s="108"/>
      <c r="P23" s="108"/>
      <c r="Q23" s="227"/>
      <c r="R23" s="108"/>
      <c r="S23" s="108"/>
      <c r="T23" s="108"/>
      <c r="U23" s="227"/>
      <c r="V23" s="108"/>
      <c r="W23" s="108"/>
      <c r="X23" s="108"/>
      <c r="Y23" s="227"/>
      <c r="Z23" s="108"/>
      <c r="AA23" s="108"/>
      <c r="AB23" s="108"/>
      <c r="AC23" s="227"/>
      <c r="AD23" s="108" t="n">
        <v>68795</v>
      </c>
      <c r="AE23" s="108" t="n">
        <v>80010</v>
      </c>
      <c r="AF23" s="108" t="n">
        <f aca="false">+AE23-AD23</f>
        <v>11215</v>
      </c>
      <c r="AG23" s="227" t="n">
        <v>16</v>
      </c>
      <c r="AH23" s="108" t="n">
        <v>97736</v>
      </c>
      <c r="AI23" s="108" t="n">
        <v>92818</v>
      </c>
      <c r="AJ23" s="108" t="n">
        <f aca="false">+AI23-AH23</f>
        <v>-4918</v>
      </c>
      <c r="AK23" s="227" t="n">
        <v>16</v>
      </c>
      <c r="AL23" s="108" t="n">
        <v>100073</v>
      </c>
      <c r="AM23" s="108" t="n">
        <v>121937</v>
      </c>
      <c r="AN23" s="108" t="n">
        <f aca="false">+AM23-AL23</f>
        <v>21864</v>
      </c>
      <c r="AO23" s="227" t="n">
        <v>16</v>
      </c>
      <c r="AP23" s="108" t="n">
        <v>171702</v>
      </c>
      <c r="AQ23" s="108" t="n">
        <f aca="false">169958+2000</f>
        <v>171958</v>
      </c>
      <c r="AR23" s="108" t="n">
        <f aca="false">+AQ23-AP23</f>
        <v>256</v>
      </c>
      <c r="AS23" s="227" t="n">
        <v>16</v>
      </c>
      <c r="AT23" s="108" t="n">
        <v>180047</v>
      </c>
      <c r="AU23" s="108" t="n">
        <v>182323</v>
      </c>
      <c r="AV23" s="108" t="n">
        <f aca="false">+AU23-AT23</f>
        <v>2276</v>
      </c>
    </row>
    <row r="24" customFormat="false" ht="12.75" hidden="false" customHeight="false" outlineLevel="0" collapsed="false">
      <c r="A24" s="228" t="n">
        <v>17</v>
      </c>
      <c r="B24" s="108" t="n">
        <v>140303</v>
      </c>
      <c r="C24" s="108" t="n">
        <v>139659</v>
      </c>
      <c r="D24" s="108" t="n">
        <v>12615</v>
      </c>
      <c r="E24" s="108" t="n">
        <v>12532</v>
      </c>
      <c r="F24" s="108" t="n">
        <f aca="false">+C24-B24+E24-D24</f>
        <v>-727</v>
      </c>
      <c r="G24" s="229"/>
      <c r="H24" s="228"/>
      <c r="I24" s="108"/>
      <c r="J24" s="108"/>
      <c r="K24" s="108"/>
      <c r="L24" s="223"/>
      <c r="M24" s="228"/>
      <c r="N24" s="108"/>
      <c r="O24" s="108"/>
      <c r="P24" s="108"/>
      <c r="Q24" s="228"/>
      <c r="R24" s="108"/>
      <c r="S24" s="108"/>
      <c r="T24" s="108"/>
      <c r="U24" s="228"/>
      <c r="V24" s="108"/>
      <c r="W24" s="108"/>
      <c r="X24" s="108"/>
      <c r="Y24" s="228"/>
      <c r="Z24" s="108"/>
      <c r="AA24" s="108"/>
      <c r="AB24" s="108"/>
      <c r="AC24" s="228"/>
      <c r="AD24" s="108" t="n">
        <v>90410</v>
      </c>
      <c r="AE24" s="108" t="n">
        <v>89096</v>
      </c>
      <c r="AF24" s="108" t="n">
        <f aca="false">+AE24-AD24</f>
        <v>-1314</v>
      </c>
      <c r="AG24" s="228" t="n">
        <v>17</v>
      </c>
      <c r="AH24" s="108" t="n">
        <v>94766</v>
      </c>
      <c r="AI24" s="108" t="n">
        <v>94662</v>
      </c>
      <c r="AJ24" s="108" t="n">
        <f aca="false">+AI24-AH24</f>
        <v>-104</v>
      </c>
      <c r="AK24" s="228" t="n">
        <v>17</v>
      </c>
      <c r="AL24" s="108" t="n">
        <v>125828</v>
      </c>
      <c r="AM24" s="108" t="n">
        <v>122594</v>
      </c>
      <c r="AN24" s="108" t="n">
        <f aca="false">+AM24-AL24</f>
        <v>-3234</v>
      </c>
      <c r="AO24" s="228" t="n">
        <v>17</v>
      </c>
      <c r="AP24" s="108" t="n">
        <v>172644</v>
      </c>
      <c r="AQ24" s="108" t="n">
        <f aca="false">172264+339</f>
        <v>172603</v>
      </c>
      <c r="AR24" s="108" t="n">
        <f aca="false">+AQ24-AP24</f>
        <v>-41</v>
      </c>
      <c r="AS24" s="228" t="n">
        <v>17</v>
      </c>
      <c r="AT24" s="108" t="n">
        <v>170607</v>
      </c>
      <c r="AU24" s="108" t="n">
        <v>170445</v>
      </c>
      <c r="AV24" s="108" t="n">
        <f aca="false">+AU24-AT24</f>
        <v>-162</v>
      </c>
    </row>
    <row r="25" customFormat="false" ht="12.75" hidden="false" customHeight="false" outlineLevel="0" collapsed="false">
      <c r="A25" s="230" t="s">
        <v>142</v>
      </c>
      <c r="B25" s="108" t="n">
        <v>142945</v>
      </c>
      <c r="C25" s="108" t="n">
        <v>142830</v>
      </c>
      <c r="D25" s="108" t="n">
        <v>12628</v>
      </c>
      <c r="E25" s="108" t="n">
        <v>12532</v>
      </c>
      <c r="F25" s="108" t="n">
        <f aca="false">+C25-B25+E25-D25</f>
        <v>-211</v>
      </c>
      <c r="G25" s="231"/>
      <c r="H25" s="230"/>
      <c r="I25" s="108"/>
      <c r="J25" s="108"/>
      <c r="K25" s="108"/>
      <c r="L25" s="223"/>
      <c r="M25" s="230"/>
      <c r="N25" s="108"/>
      <c r="O25" s="108"/>
      <c r="P25" s="108"/>
      <c r="Q25" s="230"/>
      <c r="R25" s="108"/>
      <c r="S25" s="108"/>
      <c r="T25" s="108"/>
      <c r="U25" s="230"/>
      <c r="V25" s="108"/>
      <c r="W25" s="108"/>
      <c r="X25" s="108"/>
      <c r="Y25" s="230"/>
      <c r="Z25" s="108"/>
      <c r="AA25" s="108"/>
      <c r="AB25" s="108"/>
      <c r="AC25" s="230"/>
      <c r="AD25" s="108" t="n">
        <v>86855</v>
      </c>
      <c r="AE25" s="108" t="n">
        <v>87128</v>
      </c>
      <c r="AF25" s="108" t="n">
        <f aca="false">+AE25-AD25</f>
        <v>273</v>
      </c>
      <c r="AG25" s="230" t="s">
        <v>142</v>
      </c>
      <c r="AH25" s="108" t="n">
        <v>90438</v>
      </c>
      <c r="AI25" s="108" t="n">
        <v>89668</v>
      </c>
      <c r="AJ25" s="108" t="n">
        <f aca="false">+AI25-AH25</f>
        <v>-770</v>
      </c>
      <c r="AK25" s="230" t="s">
        <v>142</v>
      </c>
      <c r="AL25" s="108" t="n">
        <v>119514</v>
      </c>
      <c r="AM25" s="108" t="n">
        <v>120375</v>
      </c>
      <c r="AN25" s="108" t="n">
        <f aca="false">+AM25-AL25</f>
        <v>861</v>
      </c>
      <c r="AO25" s="230" t="s">
        <v>142</v>
      </c>
      <c r="AP25" s="108" t="n">
        <v>175778</v>
      </c>
      <c r="AQ25" s="108" t="n">
        <v>172040</v>
      </c>
      <c r="AR25" s="108" t="n">
        <f aca="false">+AQ25-AP25</f>
        <v>-3738</v>
      </c>
      <c r="AS25" s="230" t="s">
        <v>142</v>
      </c>
      <c r="AT25" s="108" t="n">
        <v>166103</v>
      </c>
      <c r="AU25" s="108" t="n">
        <v>167903</v>
      </c>
      <c r="AV25" s="108" t="n">
        <f aca="false">+AU25-AT25</f>
        <v>1800</v>
      </c>
    </row>
    <row r="26" customFormat="false" ht="12.75" hidden="false" customHeight="false" outlineLevel="0" collapsed="false">
      <c r="A26" s="227" t="n">
        <v>19</v>
      </c>
      <c r="B26" s="108" t="n">
        <v>138040</v>
      </c>
      <c r="C26" s="108" t="n">
        <v>138430</v>
      </c>
      <c r="D26" s="108" t="n">
        <v>11271</v>
      </c>
      <c r="E26" s="108" t="n">
        <v>12532</v>
      </c>
      <c r="F26" s="108" t="n">
        <f aca="false">+C26-B26+E26-D26</f>
        <v>1651</v>
      </c>
      <c r="G26" s="226"/>
      <c r="H26" s="227"/>
      <c r="I26" s="108"/>
      <c r="J26" s="108"/>
      <c r="K26" s="108"/>
      <c r="L26" s="223"/>
      <c r="M26" s="227"/>
      <c r="N26" s="108"/>
      <c r="O26" s="108"/>
      <c r="P26" s="108"/>
      <c r="Q26" s="227"/>
      <c r="R26" s="108"/>
      <c r="S26" s="108"/>
      <c r="T26" s="108"/>
      <c r="U26" s="227"/>
      <c r="V26" s="108"/>
      <c r="W26" s="108"/>
      <c r="X26" s="108"/>
      <c r="Y26" s="227"/>
      <c r="Z26" s="108"/>
      <c r="AA26" s="108"/>
      <c r="AB26" s="108"/>
      <c r="AC26" s="227"/>
      <c r="AD26" s="108" t="n">
        <v>90382</v>
      </c>
      <c r="AE26" s="108" t="n">
        <v>91513</v>
      </c>
      <c r="AF26" s="108" t="n">
        <f aca="false">+AE26-AD26</f>
        <v>1131</v>
      </c>
      <c r="AG26" s="227" t="n">
        <v>19</v>
      </c>
      <c r="AH26" s="108" t="n">
        <v>90454</v>
      </c>
      <c r="AI26" s="108" t="n">
        <v>90980</v>
      </c>
      <c r="AJ26" s="108" t="n">
        <f aca="false">+AI26-AH26</f>
        <v>526</v>
      </c>
      <c r="AK26" s="227" t="n">
        <v>19</v>
      </c>
      <c r="AL26" s="108" t="n">
        <v>112366</v>
      </c>
      <c r="AM26" s="108" t="n">
        <v>112335</v>
      </c>
      <c r="AN26" s="108" t="n">
        <f aca="false">+AM26-AL26</f>
        <v>-31</v>
      </c>
      <c r="AO26" s="227" t="n">
        <v>19</v>
      </c>
      <c r="AP26" s="108" t="n">
        <v>178730</v>
      </c>
      <c r="AQ26" s="108" t="n">
        <f aca="false">160337+5958</f>
        <v>166295</v>
      </c>
      <c r="AR26" s="108" t="n">
        <f aca="false">+AQ26-AP26</f>
        <v>-12435</v>
      </c>
      <c r="AS26" s="227" t="n">
        <v>19</v>
      </c>
      <c r="AT26" s="108" t="n">
        <v>175589</v>
      </c>
      <c r="AU26" s="108" t="n">
        <v>176446</v>
      </c>
      <c r="AV26" s="108" t="n">
        <f aca="false">+AU26-AT26</f>
        <v>857</v>
      </c>
    </row>
    <row r="27" customFormat="false" ht="12.75" hidden="false" customHeight="false" outlineLevel="0" collapsed="false">
      <c r="A27" s="228" t="n">
        <v>20</v>
      </c>
      <c r="B27" s="108" t="n">
        <v>131479</v>
      </c>
      <c r="C27" s="108" t="n">
        <v>131398</v>
      </c>
      <c r="D27" s="108"/>
      <c r="E27" s="108"/>
      <c r="F27" s="108" t="n">
        <f aca="false">+C27-B27+E27-D27</f>
        <v>-81</v>
      </c>
      <c r="G27" s="232"/>
      <c r="H27" s="228"/>
      <c r="I27" s="108"/>
      <c r="J27" s="108"/>
      <c r="K27" s="108"/>
      <c r="L27" s="223"/>
      <c r="M27" s="228"/>
      <c r="N27" s="108"/>
      <c r="O27" s="108"/>
      <c r="P27" s="108"/>
      <c r="Q27" s="228"/>
      <c r="R27" s="108"/>
      <c r="S27" s="108"/>
      <c r="T27" s="108"/>
      <c r="U27" s="228"/>
      <c r="V27" s="108"/>
      <c r="W27" s="108"/>
      <c r="X27" s="108"/>
      <c r="Y27" s="228"/>
      <c r="Z27" s="108"/>
      <c r="AA27" s="108"/>
      <c r="AB27" s="108"/>
      <c r="AC27" s="228"/>
      <c r="AD27" s="108" t="n">
        <v>101529</v>
      </c>
      <c r="AE27" s="108" t="n">
        <v>104520</v>
      </c>
      <c r="AF27" s="108" t="n">
        <f aca="false">+AE27-AD27</f>
        <v>2991</v>
      </c>
      <c r="AG27" s="228" t="n">
        <v>20</v>
      </c>
      <c r="AH27" s="108" t="n">
        <v>96601</v>
      </c>
      <c r="AI27" s="108" t="n">
        <v>98051</v>
      </c>
      <c r="AJ27" s="108" t="n">
        <f aca="false">+AI27-AH27</f>
        <v>1450</v>
      </c>
      <c r="AK27" s="228" t="n">
        <v>20</v>
      </c>
      <c r="AL27" s="108" t="n">
        <v>131022</v>
      </c>
      <c r="AM27" s="108" t="n">
        <v>131761</v>
      </c>
      <c r="AN27" s="108" t="n">
        <f aca="false">+AM27-AL27</f>
        <v>739</v>
      </c>
      <c r="AO27" s="228" t="n">
        <v>20</v>
      </c>
      <c r="AP27" s="108" t="n">
        <v>170615</v>
      </c>
      <c r="AQ27" s="108" t="n">
        <f aca="false">158124+2541</f>
        <v>160665</v>
      </c>
      <c r="AR27" s="108" t="n">
        <f aca="false">+AQ27-AP27</f>
        <v>-9950</v>
      </c>
      <c r="AS27" s="228" t="n">
        <v>20</v>
      </c>
      <c r="AT27" s="108" t="n">
        <v>173880</v>
      </c>
      <c r="AU27" s="108" t="n">
        <v>174805</v>
      </c>
      <c r="AV27" s="108" t="n">
        <f aca="false">+AU27-AT27</f>
        <v>925</v>
      </c>
    </row>
    <row r="28" customFormat="false" ht="12.75" hidden="false" customHeight="false" outlineLevel="0" collapsed="false">
      <c r="A28" s="233" t="n">
        <v>21</v>
      </c>
      <c r="B28" s="108" t="n">
        <v>145720</v>
      </c>
      <c r="C28" s="108" t="n">
        <v>145465</v>
      </c>
      <c r="D28" s="108" t="n">
        <v>10112</v>
      </c>
      <c r="E28" s="108" t="n">
        <v>12532</v>
      </c>
      <c r="F28" s="108" t="n">
        <f aca="false">+C28-B28+E28-D28</f>
        <v>2165</v>
      </c>
      <c r="G28" s="234"/>
      <c r="H28" s="233"/>
      <c r="I28" s="108"/>
      <c r="J28" s="108"/>
      <c r="K28" s="108"/>
      <c r="L28" s="223"/>
      <c r="M28" s="233"/>
      <c r="N28" s="108"/>
      <c r="O28" s="108"/>
      <c r="P28" s="108"/>
      <c r="Q28" s="233"/>
      <c r="R28" s="108"/>
      <c r="S28" s="108"/>
      <c r="T28" s="108"/>
      <c r="U28" s="233"/>
      <c r="V28" s="108"/>
      <c r="W28" s="108"/>
      <c r="X28" s="108"/>
      <c r="Y28" s="233"/>
      <c r="Z28" s="108"/>
      <c r="AA28" s="108"/>
      <c r="AB28" s="108"/>
      <c r="AC28" s="233"/>
      <c r="AD28" s="108" t="n">
        <v>92772</v>
      </c>
      <c r="AE28" s="108" t="n">
        <v>101229</v>
      </c>
      <c r="AF28" s="108" t="n">
        <f aca="false">+AE28-AD28</f>
        <v>8457</v>
      </c>
      <c r="AG28" s="233" t="n">
        <v>21</v>
      </c>
      <c r="AH28" s="108" t="n">
        <v>91965</v>
      </c>
      <c r="AI28" s="108" t="n">
        <f aca="false">102636+108</f>
        <v>102744</v>
      </c>
      <c r="AJ28" s="108" t="n">
        <f aca="false">+AI28-AH28</f>
        <v>10779</v>
      </c>
      <c r="AK28" s="233" t="n">
        <v>21</v>
      </c>
      <c r="AL28" s="108" t="n">
        <v>126551</v>
      </c>
      <c r="AM28" s="108" t="n">
        <v>126375</v>
      </c>
      <c r="AN28" s="108" t="n">
        <f aca="false">+AM28-AL28</f>
        <v>-176</v>
      </c>
      <c r="AO28" s="233" t="n">
        <v>21</v>
      </c>
      <c r="AP28" s="108" t="n">
        <v>162253</v>
      </c>
      <c r="AQ28" s="108" t="n">
        <v>161166</v>
      </c>
      <c r="AR28" s="108" t="n">
        <f aca="false">+AQ28-AP28</f>
        <v>-1087</v>
      </c>
      <c r="AS28" s="233" t="n">
        <v>21</v>
      </c>
      <c r="AT28" s="108" t="n">
        <v>177344</v>
      </c>
      <c r="AU28" s="108" t="n">
        <v>181409</v>
      </c>
      <c r="AV28" s="108" t="n">
        <f aca="false">+AU28-AT28</f>
        <v>4065</v>
      </c>
    </row>
    <row r="29" customFormat="false" ht="12.75" hidden="false" customHeight="false" outlineLevel="0" collapsed="false">
      <c r="A29" s="233" t="n">
        <v>22</v>
      </c>
      <c r="B29" s="108" t="n">
        <v>144699</v>
      </c>
      <c r="C29" s="108" t="n">
        <v>144643</v>
      </c>
      <c r="D29" s="108" t="n">
        <v>14070</v>
      </c>
      <c r="E29" s="108" t="n">
        <v>12532</v>
      </c>
      <c r="F29" s="108" t="n">
        <f aca="false">+C29-B29+E29-D29</f>
        <v>-1594</v>
      </c>
      <c r="G29" s="234"/>
      <c r="H29" s="233"/>
      <c r="I29" s="108"/>
      <c r="J29" s="108"/>
      <c r="K29" s="108"/>
      <c r="L29" s="223"/>
      <c r="M29" s="233"/>
      <c r="N29" s="108"/>
      <c r="O29" s="108"/>
      <c r="P29" s="108"/>
      <c r="Q29" s="233"/>
      <c r="R29" s="108"/>
      <c r="S29" s="108"/>
      <c r="T29" s="108"/>
      <c r="U29" s="233"/>
      <c r="V29" s="108"/>
      <c r="W29" s="108"/>
      <c r="X29" s="108"/>
      <c r="Y29" s="233"/>
      <c r="Z29" s="108"/>
      <c r="AA29" s="108"/>
      <c r="AB29" s="108"/>
      <c r="AC29" s="233"/>
      <c r="AD29" s="108" t="n">
        <v>93405</v>
      </c>
      <c r="AE29" s="108" t="n">
        <v>100368</v>
      </c>
      <c r="AF29" s="108" t="n">
        <f aca="false">+AE29-AD29</f>
        <v>6963</v>
      </c>
      <c r="AG29" s="233" t="n">
        <v>22</v>
      </c>
      <c r="AH29" s="108" t="n">
        <v>103207</v>
      </c>
      <c r="AI29" s="108" t="n">
        <v>116825</v>
      </c>
      <c r="AJ29" s="108" t="n">
        <f aca="false">+AI29-AH29</f>
        <v>13618</v>
      </c>
      <c r="AK29" s="233" t="n">
        <v>22</v>
      </c>
      <c r="AL29" s="108" t="n">
        <v>131105</v>
      </c>
      <c r="AM29" s="108" t="n">
        <v>131629</v>
      </c>
      <c r="AN29" s="108" t="n">
        <f aca="false">+AM29-AL29</f>
        <v>524</v>
      </c>
      <c r="AO29" s="233" t="n">
        <v>22</v>
      </c>
      <c r="AP29" s="108" t="n">
        <v>131802</v>
      </c>
      <c r="AQ29" s="108" t="n">
        <v>131356</v>
      </c>
      <c r="AR29" s="108" t="n">
        <f aca="false">+AQ29-AP29</f>
        <v>-446</v>
      </c>
      <c r="AS29" s="233" t="n">
        <v>22</v>
      </c>
      <c r="AT29" s="108" t="n">
        <v>174250</v>
      </c>
      <c r="AU29" s="108" t="n">
        <v>175461</v>
      </c>
      <c r="AV29" s="108" t="n">
        <f aca="false">+AU29-AT29</f>
        <v>1211</v>
      </c>
    </row>
    <row r="30" customFormat="false" ht="12.75" hidden="false" customHeight="false" outlineLevel="0" collapsed="false">
      <c r="A30" s="233" t="n">
        <v>23</v>
      </c>
      <c r="B30" s="108" t="n">
        <v>143989</v>
      </c>
      <c r="C30" s="108" t="n">
        <v>141813</v>
      </c>
      <c r="D30" s="108" t="n">
        <v>13039</v>
      </c>
      <c r="E30" s="108" t="n">
        <v>12532</v>
      </c>
      <c r="F30" s="108" t="n">
        <f aca="false">+C30-B30+E30-D30</f>
        <v>-2683</v>
      </c>
      <c r="G30" s="234"/>
      <c r="H30" s="233"/>
      <c r="I30" s="108"/>
      <c r="J30" s="108"/>
      <c r="K30" s="108"/>
      <c r="L30" s="223"/>
      <c r="M30" s="233"/>
      <c r="N30" s="108"/>
      <c r="O30" s="108"/>
      <c r="P30" s="108"/>
      <c r="Q30" s="233"/>
      <c r="R30" s="108"/>
      <c r="S30" s="108"/>
      <c r="T30" s="108"/>
      <c r="U30" s="233"/>
      <c r="V30" s="108"/>
      <c r="W30" s="108"/>
      <c r="X30" s="108"/>
      <c r="Y30" s="233"/>
      <c r="Z30" s="108"/>
      <c r="AA30" s="108"/>
      <c r="AB30" s="108"/>
      <c r="AC30" s="233"/>
      <c r="AD30" s="108" t="n">
        <v>87752</v>
      </c>
      <c r="AE30" s="108" t="n">
        <v>85600</v>
      </c>
      <c r="AF30" s="108" t="n">
        <f aca="false">+AE30-AD30</f>
        <v>-2152</v>
      </c>
      <c r="AG30" s="233" t="n">
        <v>23</v>
      </c>
      <c r="AH30" s="108" t="n">
        <v>100407</v>
      </c>
      <c r="AI30" s="108" t="n">
        <v>89676</v>
      </c>
      <c r="AJ30" s="108" t="n">
        <f aca="false">+AI30-AH30</f>
        <v>-10731</v>
      </c>
      <c r="AK30" s="233" t="n">
        <v>23</v>
      </c>
      <c r="AL30" s="108" t="n">
        <v>122167</v>
      </c>
      <c r="AM30" s="108" t="n">
        <v>121764</v>
      </c>
      <c r="AN30" s="108" t="n">
        <f aca="false">+AM30-AL30</f>
        <v>-403</v>
      </c>
      <c r="AO30" s="233" t="n">
        <v>23</v>
      </c>
      <c r="AP30" s="108" t="n">
        <v>159515</v>
      </c>
      <c r="AQ30" s="108" t="n">
        <v>160435</v>
      </c>
      <c r="AR30" s="108" t="n">
        <f aca="false">+AQ30-AP30</f>
        <v>920</v>
      </c>
      <c r="AS30" s="233" t="n">
        <v>23</v>
      </c>
      <c r="AT30" s="108" t="n">
        <v>176744</v>
      </c>
      <c r="AU30" s="108" t="n">
        <f aca="false">181302+167</f>
        <v>181469</v>
      </c>
      <c r="AV30" s="108" t="n">
        <f aca="false">+AU30-AT30</f>
        <v>4725</v>
      </c>
    </row>
    <row r="31" customFormat="false" ht="12.75" hidden="false" customHeight="false" outlineLevel="0" collapsed="false">
      <c r="A31" s="233" t="n">
        <v>24</v>
      </c>
      <c r="B31" s="108" t="n">
        <v>143943</v>
      </c>
      <c r="C31" s="108" t="n">
        <v>144862</v>
      </c>
      <c r="D31" s="108" t="n">
        <v>12535</v>
      </c>
      <c r="E31" s="108" t="n">
        <v>12532</v>
      </c>
      <c r="F31" s="108" t="n">
        <f aca="false">+C31-B31+E31-D31</f>
        <v>916</v>
      </c>
      <c r="G31" s="234"/>
      <c r="H31" s="233"/>
      <c r="I31" s="108"/>
      <c r="J31" s="108"/>
      <c r="K31" s="108"/>
      <c r="L31" s="223"/>
      <c r="M31" s="233"/>
      <c r="N31" s="108"/>
      <c r="O31" s="108"/>
      <c r="P31" s="108"/>
      <c r="Q31" s="233"/>
      <c r="R31" s="108"/>
      <c r="S31" s="108"/>
      <c r="T31" s="108"/>
      <c r="U31" s="233"/>
      <c r="V31" s="108"/>
      <c r="W31" s="108"/>
      <c r="X31" s="108"/>
      <c r="Y31" s="233"/>
      <c r="Z31" s="108"/>
      <c r="AA31" s="108"/>
      <c r="AB31" s="108"/>
      <c r="AC31" s="233"/>
      <c r="AD31" s="108" t="n">
        <v>97761</v>
      </c>
      <c r="AE31" s="108" t="n">
        <v>97012</v>
      </c>
      <c r="AF31" s="108" t="n">
        <f aca="false">+AE31-AD31</f>
        <v>-749</v>
      </c>
      <c r="AG31" s="233" t="n">
        <v>24</v>
      </c>
      <c r="AH31" s="108" t="n">
        <v>94496</v>
      </c>
      <c r="AI31" s="108" t="n">
        <v>96183</v>
      </c>
      <c r="AJ31" s="108" t="n">
        <f aca="false">+AI31-AH31</f>
        <v>1687</v>
      </c>
      <c r="AK31" s="233" t="n">
        <v>24</v>
      </c>
      <c r="AL31" s="108" t="n">
        <v>127269</v>
      </c>
      <c r="AM31" s="108" t="n">
        <v>126812</v>
      </c>
      <c r="AN31" s="108" t="n">
        <f aca="false">+AM31-AL31</f>
        <v>-457</v>
      </c>
      <c r="AO31" s="233" t="n">
        <v>24</v>
      </c>
      <c r="AP31" s="108" t="n">
        <v>174216</v>
      </c>
      <c r="AQ31" s="108" t="n">
        <v>173432</v>
      </c>
      <c r="AR31" s="108" t="n">
        <f aca="false">+AQ31-AP31</f>
        <v>-784</v>
      </c>
      <c r="AS31" s="233" t="n">
        <v>24</v>
      </c>
      <c r="AT31" s="108" t="n">
        <v>181093</v>
      </c>
      <c r="AU31" s="108" t="n">
        <v>179131</v>
      </c>
      <c r="AV31" s="108" t="n">
        <f aca="false">+AU31-AT31</f>
        <v>-1962</v>
      </c>
    </row>
    <row r="32" customFormat="false" ht="12.75" hidden="false" customHeight="false" outlineLevel="0" collapsed="false">
      <c r="A32" s="233" t="n">
        <v>25</v>
      </c>
      <c r="B32" s="108" t="n">
        <v>144473</v>
      </c>
      <c r="C32" s="108" t="n">
        <v>144669</v>
      </c>
      <c r="D32" s="108" t="n">
        <v>11941</v>
      </c>
      <c r="E32" s="108" t="n">
        <v>12532</v>
      </c>
      <c r="F32" s="108" t="n">
        <f aca="false">+C32-B32+E32-D32</f>
        <v>787</v>
      </c>
      <c r="G32" s="234"/>
      <c r="H32" s="233"/>
      <c r="I32" s="108"/>
      <c r="J32" s="108"/>
      <c r="K32" s="108"/>
      <c r="L32" s="223"/>
      <c r="M32" s="233"/>
      <c r="N32" s="108"/>
      <c r="O32" s="108"/>
      <c r="P32" s="108"/>
      <c r="Q32" s="233"/>
      <c r="R32" s="108"/>
      <c r="S32" s="108"/>
      <c r="T32" s="108"/>
      <c r="U32" s="233"/>
      <c r="V32" s="108"/>
      <c r="W32" s="108"/>
      <c r="X32" s="108"/>
      <c r="Y32" s="233"/>
      <c r="Z32" s="108"/>
      <c r="AA32" s="108"/>
      <c r="AB32" s="108"/>
      <c r="AC32" s="233"/>
      <c r="AD32" s="108" t="n">
        <v>103695</v>
      </c>
      <c r="AE32" s="108" t="n">
        <v>93370</v>
      </c>
      <c r="AF32" s="108" t="n">
        <f aca="false">+AE32-AD32</f>
        <v>-10325</v>
      </c>
      <c r="AG32" s="233" t="n">
        <v>25</v>
      </c>
      <c r="AH32" s="108" t="n">
        <v>94209</v>
      </c>
      <c r="AI32" s="108" t="n">
        <v>96204</v>
      </c>
      <c r="AJ32" s="108" t="n">
        <f aca="false">+AI32-AH32</f>
        <v>1995</v>
      </c>
      <c r="AK32" s="233" t="n">
        <v>25</v>
      </c>
      <c r="AL32" s="108" t="n">
        <v>118154</v>
      </c>
      <c r="AM32" s="108" t="n">
        <v>117446</v>
      </c>
      <c r="AN32" s="108" t="n">
        <f aca="false">+AM32-AL32</f>
        <v>-708</v>
      </c>
      <c r="AO32" s="233" t="n">
        <v>25</v>
      </c>
      <c r="AP32" s="108" t="n">
        <v>150579</v>
      </c>
      <c r="AQ32" s="108" t="n">
        <v>148972</v>
      </c>
      <c r="AR32" s="108" t="n">
        <f aca="false">+AQ32-AP32</f>
        <v>-1607</v>
      </c>
      <c r="AS32" s="233" t="n">
        <v>25</v>
      </c>
      <c r="AT32" s="108" t="n">
        <v>163865</v>
      </c>
      <c r="AU32" s="108" t="n">
        <v>159045</v>
      </c>
      <c r="AV32" s="108" t="n">
        <f aca="false">+AU32-AT32</f>
        <v>-4820</v>
      </c>
    </row>
    <row r="33" customFormat="false" ht="12.75" hidden="false" customHeight="false" outlineLevel="0" collapsed="false">
      <c r="A33" s="233" t="n">
        <v>26</v>
      </c>
      <c r="B33" s="108" t="n">
        <v>147274</v>
      </c>
      <c r="C33" s="108" t="n">
        <v>147179</v>
      </c>
      <c r="D33" s="108" t="n">
        <v>12678</v>
      </c>
      <c r="E33" s="108" t="n">
        <v>12532</v>
      </c>
      <c r="F33" s="108" t="n">
        <f aca="false">+C33-B33+E33-D33</f>
        <v>-241</v>
      </c>
      <c r="G33" s="234"/>
      <c r="H33" s="233"/>
      <c r="I33" s="108"/>
      <c r="J33" s="108"/>
      <c r="K33" s="108"/>
      <c r="L33" s="223"/>
      <c r="M33" s="233"/>
      <c r="N33" s="108"/>
      <c r="O33" s="108"/>
      <c r="P33" s="108"/>
      <c r="Q33" s="233"/>
      <c r="R33" s="108"/>
      <c r="S33" s="108"/>
      <c r="T33" s="108"/>
      <c r="U33" s="233"/>
      <c r="V33" s="108"/>
      <c r="W33" s="108"/>
      <c r="X33" s="108"/>
      <c r="Y33" s="233"/>
      <c r="Z33" s="108"/>
      <c r="AA33" s="108"/>
      <c r="AB33" s="108"/>
      <c r="AC33" s="233"/>
      <c r="AD33" s="108" t="n">
        <v>90853</v>
      </c>
      <c r="AE33" s="108" t="n">
        <v>90587</v>
      </c>
      <c r="AF33" s="108" t="n">
        <f aca="false">+AE33-AD33</f>
        <v>-266</v>
      </c>
      <c r="AG33" s="233" t="n">
        <v>26</v>
      </c>
      <c r="AH33" s="108" t="n">
        <v>96535</v>
      </c>
      <c r="AI33" s="108" t="n">
        <v>96204</v>
      </c>
      <c r="AJ33" s="108" t="n">
        <f aca="false">+AI33-AH33</f>
        <v>-331</v>
      </c>
      <c r="AK33" s="233" t="n">
        <v>26</v>
      </c>
      <c r="AL33" s="108" t="n">
        <v>112452</v>
      </c>
      <c r="AM33" s="108" t="n">
        <v>112088</v>
      </c>
      <c r="AN33" s="108" t="n">
        <f aca="false">+AM33-AL33</f>
        <v>-364</v>
      </c>
      <c r="AO33" s="233" t="n">
        <v>26</v>
      </c>
      <c r="AP33" s="108" t="n">
        <v>149071</v>
      </c>
      <c r="AQ33" s="108" t="n">
        <v>148972</v>
      </c>
      <c r="AR33" s="108" t="n">
        <f aca="false">+AQ33-AP33</f>
        <v>-99</v>
      </c>
      <c r="AS33" s="233" t="n">
        <v>26</v>
      </c>
      <c r="AT33" s="108" t="n">
        <v>169162</v>
      </c>
      <c r="AU33" s="108" t="n">
        <v>168888</v>
      </c>
      <c r="AV33" s="108" t="n">
        <f aca="false">+AU33-AT33</f>
        <v>-274</v>
      </c>
    </row>
    <row r="34" customFormat="false" ht="12.75" hidden="false" customHeight="false" outlineLevel="0" collapsed="false">
      <c r="A34" s="233" t="n">
        <v>27</v>
      </c>
      <c r="B34" s="108" t="n">
        <v>146317</v>
      </c>
      <c r="C34" s="108" t="n">
        <v>147597</v>
      </c>
      <c r="D34" s="108" t="n">
        <v>12557</v>
      </c>
      <c r="E34" s="108" t="n">
        <v>12532</v>
      </c>
      <c r="F34" s="108" t="n">
        <f aca="false">+C34-B34+E34-D34</f>
        <v>1255</v>
      </c>
      <c r="G34" s="234"/>
      <c r="H34" s="233"/>
      <c r="I34" s="108"/>
      <c r="J34" s="108"/>
      <c r="K34" s="108"/>
      <c r="L34" s="223"/>
      <c r="M34" s="233"/>
      <c r="N34" s="108"/>
      <c r="O34" s="108"/>
      <c r="P34" s="108"/>
      <c r="Q34" s="233"/>
      <c r="R34" s="108"/>
      <c r="S34" s="108"/>
      <c r="T34" s="108"/>
      <c r="U34" s="233"/>
      <c r="V34" s="108"/>
      <c r="W34" s="108"/>
      <c r="X34" s="108"/>
      <c r="Y34" s="233"/>
      <c r="Z34" s="108"/>
      <c r="AA34" s="108"/>
      <c r="AB34" s="108"/>
      <c r="AC34" s="233"/>
      <c r="AD34" s="108" t="n">
        <v>88917</v>
      </c>
      <c r="AE34" s="108" t="n">
        <v>89704</v>
      </c>
      <c r="AF34" s="108" t="n">
        <f aca="false">+AE34-AD34</f>
        <v>787</v>
      </c>
      <c r="AG34" s="233" t="n">
        <v>27</v>
      </c>
      <c r="AH34" s="108" t="n">
        <v>95775</v>
      </c>
      <c r="AI34" s="108" t="n">
        <v>96204</v>
      </c>
      <c r="AJ34" s="108" t="n">
        <f aca="false">+AI34-AH34</f>
        <v>429</v>
      </c>
      <c r="AK34" s="233" t="n">
        <v>27</v>
      </c>
      <c r="AL34" s="108" t="n">
        <v>114295</v>
      </c>
      <c r="AM34" s="108" t="n">
        <v>118780</v>
      </c>
      <c r="AN34" s="108" t="n">
        <f aca="false">+AM34-AL34</f>
        <v>4485</v>
      </c>
      <c r="AO34" s="233" t="n">
        <v>27</v>
      </c>
      <c r="AP34" s="108" t="n">
        <v>131684</v>
      </c>
      <c r="AQ34" s="108" t="n">
        <v>148972</v>
      </c>
      <c r="AR34" s="108" t="n">
        <f aca="false">+AQ34-AP34</f>
        <v>17288</v>
      </c>
      <c r="AS34" s="233" t="n">
        <v>27</v>
      </c>
      <c r="AT34" s="108" t="n">
        <v>163558</v>
      </c>
      <c r="AU34" s="108" t="n">
        <v>161498</v>
      </c>
      <c r="AV34" s="108" t="n">
        <f aca="false">+AU34-AT34</f>
        <v>-2060</v>
      </c>
    </row>
    <row r="35" customFormat="false" ht="12.75" hidden="false" customHeight="false" outlineLevel="0" collapsed="false">
      <c r="A35" s="233" t="n">
        <v>28</v>
      </c>
      <c r="B35" s="108"/>
      <c r="C35" s="108"/>
      <c r="D35" s="108"/>
      <c r="E35" s="108"/>
      <c r="F35" s="108" t="n">
        <f aca="false">+C35-B35+E35-D35</f>
        <v>0</v>
      </c>
      <c r="G35" s="234"/>
      <c r="H35" s="233"/>
      <c r="I35" s="108"/>
      <c r="J35" s="108"/>
      <c r="K35" s="108"/>
      <c r="L35" s="223"/>
      <c r="M35" s="233"/>
      <c r="N35" s="108"/>
      <c r="O35" s="108"/>
      <c r="P35" s="108"/>
      <c r="Q35" s="233"/>
      <c r="R35" s="108"/>
      <c r="S35" s="108"/>
      <c r="T35" s="108"/>
      <c r="U35" s="233"/>
      <c r="V35" s="108"/>
      <c r="W35" s="108"/>
      <c r="X35" s="108"/>
      <c r="Y35" s="233"/>
      <c r="Z35" s="108"/>
      <c r="AA35" s="108"/>
      <c r="AB35" s="108"/>
      <c r="AC35" s="233"/>
      <c r="AD35" s="108" t="n">
        <v>90830</v>
      </c>
      <c r="AE35" s="108" t="n">
        <v>89704</v>
      </c>
      <c r="AF35" s="108" t="n">
        <f aca="false">+AE35-AD35</f>
        <v>-1126</v>
      </c>
      <c r="AG35" s="233" t="n">
        <v>28</v>
      </c>
      <c r="AH35" s="108" t="n">
        <v>83640</v>
      </c>
      <c r="AI35" s="108" t="n">
        <v>84420</v>
      </c>
      <c r="AJ35" s="108" t="n">
        <f aca="false">+AI35-AH35</f>
        <v>780</v>
      </c>
      <c r="AK35" s="233" t="n">
        <v>28</v>
      </c>
      <c r="AL35" s="108" t="n">
        <v>117326</v>
      </c>
      <c r="AM35" s="108" t="n">
        <v>116198</v>
      </c>
      <c r="AN35" s="108" t="n">
        <f aca="false">+AM35-AL35</f>
        <v>-1128</v>
      </c>
      <c r="AO35" s="233" t="n">
        <v>28</v>
      </c>
      <c r="AP35" s="108" t="n">
        <v>151053</v>
      </c>
      <c r="AQ35" s="108" t="n">
        <v>148972</v>
      </c>
      <c r="AR35" s="108" t="n">
        <f aca="false">+AQ35-AP35</f>
        <v>-2081</v>
      </c>
      <c r="AS35" s="233" t="n">
        <v>28</v>
      </c>
      <c r="AT35" s="108" t="n">
        <v>159141</v>
      </c>
      <c r="AU35" s="108" t="n">
        <f aca="false">158436+50</f>
        <v>158486</v>
      </c>
      <c r="AV35" s="108" t="n">
        <f aca="false">+AU35-AT35</f>
        <v>-655</v>
      </c>
    </row>
    <row r="36" customFormat="false" ht="12.75" hidden="false" customHeight="false" outlineLevel="0" collapsed="false">
      <c r="A36" s="233" t="n">
        <v>29</v>
      </c>
      <c r="B36" s="108"/>
      <c r="C36" s="108"/>
      <c r="D36" s="108"/>
      <c r="E36" s="108"/>
      <c r="F36" s="108" t="n">
        <f aca="false">+C36-B36+E36-D36</f>
        <v>0</v>
      </c>
      <c r="G36" s="234"/>
      <c r="H36" s="233"/>
      <c r="I36" s="108"/>
      <c r="J36" s="108"/>
      <c r="K36" s="108"/>
      <c r="L36" s="223"/>
      <c r="M36" s="233"/>
      <c r="N36" s="108"/>
      <c r="O36" s="108"/>
      <c r="P36" s="108"/>
      <c r="Q36" s="233"/>
      <c r="R36" s="108"/>
      <c r="S36" s="108"/>
      <c r="T36" s="108"/>
      <c r="U36" s="233"/>
      <c r="V36" s="108"/>
      <c r="W36" s="108"/>
      <c r="X36" s="108"/>
      <c r="Y36" s="233"/>
      <c r="Z36" s="108"/>
      <c r="AA36" s="108"/>
      <c r="AB36" s="108"/>
      <c r="AC36" s="233"/>
      <c r="AD36" s="108" t="n">
        <v>98826</v>
      </c>
      <c r="AE36" s="108" t="n">
        <v>98044</v>
      </c>
      <c r="AF36" s="108" t="n">
        <f aca="false">+AE36-AD36</f>
        <v>-782</v>
      </c>
      <c r="AG36" s="233" t="n">
        <v>29</v>
      </c>
      <c r="AH36" s="108" t="n">
        <v>72972</v>
      </c>
      <c r="AI36" s="108" t="n">
        <v>84163</v>
      </c>
      <c r="AJ36" s="108" t="n">
        <f aca="false">+AI36-AH36</f>
        <v>11191</v>
      </c>
      <c r="AK36" s="233" t="n">
        <v>29</v>
      </c>
      <c r="AL36" s="108" t="n">
        <v>113125</v>
      </c>
      <c r="AM36" s="108" t="n">
        <v>111409</v>
      </c>
      <c r="AN36" s="108" t="n">
        <f aca="false">+AM36-AL36</f>
        <v>-1716</v>
      </c>
      <c r="AO36" s="233" t="n">
        <v>29</v>
      </c>
      <c r="AP36" s="108" t="n">
        <v>149288</v>
      </c>
      <c r="AQ36" s="108" t="n">
        <v>148880</v>
      </c>
      <c r="AR36" s="108" t="n">
        <f aca="false">+AQ36-AP36</f>
        <v>-408</v>
      </c>
      <c r="AS36" s="233" t="n">
        <v>29</v>
      </c>
      <c r="AT36" s="108" t="n">
        <v>160416</v>
      </c>
      <c r="AU36" s="108" t="n">
        <v>159760</v>
      </c>
      <c r="AV36" s="108" t="n">
        <f aca="false">+AU36-AT36</f>
        <v>-656</v>
      </c>
    </row>
    <row r="37" customFormat="false" ht="12.75" hidden="false" customHeight="false" outlineLevel="0" collapsed="false">
      <c r="A37" s="233" t="n">
        <v>30</v>
      </c>
      <c r="B37" s="108"/>
      <c r="C37" s="108"/>
      <c r="D37" s="108"/>
      <c r="E37" s="108"/>
      <c r="F37" s="108" t="n">
        <f aca="false">+C37-B37+E37-D37</f>
        <v>0</v>
      </c>
      <c r="G37" s="234"/>
      <c r="H37" s="233"/>
      <c r="I37" s="108"/>
      <c r="J37" s="108"/>
      <c r="K37" s="108"/>
      <c r="L37" s="223"/>
      <c r="M37" s="233"/>
      <c r="N37" s="108"/>
      <c r="O37" s="108"/>
      <c r="P37" s="108"/>
      <c r="Q37" s="233"/>
      <c r="R37" s="108"/>
      <c r="S37" s="108"/>
      <c r="T37" s="108"/>
      <c r="U37" s="233"/>
      <c r="V37" s="108"/>
      <c r="W37" s="108"/>
      <c r="X37" s="108"/>
      <c r="Y37" s="233"/>
      <c r="Z37" s="108"/>
      <c r="AA37" s="108"/>
      <c r="AB37" s="108"/>
      <c r="AC37" s="233"/>
      <c r="AD37" s="108" t="n">
        <v>82028</v>
      </c>
      <c r="AE37" s="108" t="n">
        <v>86837</v>
      </c>
      <c r="AF37" s="108" t="n">
        <f aca="false">+AE37-AD37</f>
        <v>4809</v>
      </c>
      <c r="AG37" s="233" t="n">
        <v>30</v>
      </c>
      <c r="AH37" s="108" t="n">
        <v>98006</v>
      </c>
      <c r="AI37" s="108" t="n">
        <v>99181</v>
      </c>
      <c r="AJ37" s="108" t="n">
        <f aca="false">+AI37-AH37</f>
        <v>1175</v>
      </c>
      <c r="AK37" s="233" t="n">
        <v>30</v>
      </c>
      <c r="AL37" s="108" t="n">
        <v>123719</v>
      </c>
      <c r="AM37" s="108" t="n">
        <v>122461</v>
      </c>
      <c r="AN37" s="108" t="n">
        <f aca="false">+AM37-AL37</f>
        <v>-1258</v>
      </c>
      <c r="AO37" s="233" t="n">
        <v>30</v>
      </c>
      <c r="AP37" s="108"/>
      <c r="AQ37" s="108"/>
      <c r="AR37" s="108" t="n">
        <f aca="false">+AQ37-AP37</f>
        <v>0</v>
      </c>
      <c r="AS37" s="233" t="n">
        <v>30</v>
      </c>
      <c r="AT37" s="108" t="n">
        <v>170363</v>
      </c>
      <c r="AU37" s="108" t="n">
        <v>171856</v>
      </c>
      <c r="AV37" s="108" t="n">
        <f aca="false">+AU37-AT37</f>
        <v>1493</v>
      </c>
    </row>
    <row r="38" customFormat="false" ht="12.75" hidden="false" customHeight="false" outlineLevel="0" collapsed="false">
      <c r="A38" s="233" t="n">
        <v>31</v>
      </c>
      <c r="B38" s="108"/>
      <c r="C38" s="108"/>
      <c r="D38" s="108"/>
      <c r="E38" s="108"/>
      <c r="F38" s="108" t="n">
        <f aca="false">+C38-B38+E38-D38</f>
        <v>0</v>
      </c>
      <c r="G38" s="234"/>
      <c r="H38" s="233"/>
      <c r="I38" s="108"/>
      <c r="J38" s="108"/>
      <c r="K38" s="108"/>
      <c r="L38" s="223"/>
      <c r="M38" s="233"/>
      <c r="N38" s="108"/>
      <c r="O38" s="108"/>
      <c r="P38" s="108"/>
      <c r="Q38" s="233"/>
      <c r="R38" s="108"/>
      <c r="S38" s="108"/>
      <c r="T38" s="108"/>
      <c r="U38" s="233"/>
      <c r="V38" s="108"/>
      <c r="W38" s="108"/>
      <c r="X38" s="108"/>
      <c r="Y38" s="233"/>
      <c r="Z38" s="108"/>
      <c r="AA38" s="108"/>
      <c r="AB38" s="108"/>
      <c r="AC38" s="233"/>
      <c r="AD38" s="108"/>
      <c r="AE38" s="108"/>
      <c r="AF38" s="108" t="n">
        <f aca="false">+AE38-AD38</f>
        <v>0</v>
      </c>
      <c r="AG38" s="233" t="n">
        <v>31</v>
      </c>
      <c r="AH38" s="108" t="n">
        <v>96276</v>
      </c>
      <c r="AI38" s="108" t="n">
        <v>98230</v>
      </c>
      <c r="AJ38" s="108" t="n">
        <f aca="false">+AI38-AH38</f>
        <v>1954</v>
      </c>
      <c r="AK38" s="233" t="n">
        <v>31</v>
      </c>
      <c r="AL38" s="108" t="n">
        <v>113775</v>
      </c>
      <c r="AM38" s="108" t="n">
        <v>112657</v>
      </c>
      <c r="AN38" s="108" t="n">
        <f aca="false">+AM38-AL38</f>
        <v>-1118</v>
      </c>
      <c r="AO38" s="233" t="n">
        <v>31</v>
      </c>
      <c r="AP38" s="108"/>
      <c r="AQ38" s="108"/>
      <c r="AR38" s="108" t="n">
        <f aca="false">+AQ38-AP38</f>
        <v>0</v>
      </c>
      <c r="AS38" s="233" t="n">
        <v>31</v>
      </c>
      <c r="AT38" s="108" t="n">
        <v>170527</v>
      </c>
      <c r="AU38" s="108" t="n">
        <v>171013</v>
      </c>
      <c r="AV38" s="108" t="n">
        <f aca="false">+AU38-AT38</f>
        <v>486</v>
      </c>
    </row>
    <row r="39" customFormat="false" ht="12.75" hidden="false" customHeight="false" outlineLevel="0" collapsed="false">
      <c r="A39" s="233"/>
      <c r="B39" s="108" t="n">
        <f aca="false">SUM(B8:B38)</f>
        <v>3787317</v>
      </c>
      <c r="C39" s="108" t="n">
        <f aca="false">SUM(C8:C38)</f>
        <v>3777790</v>
      </c>
      <c r="D39" s="108" t="n">
        <f aca="false">SUM(D8:D38)</f>
        <v>329343</v>
      </c>
      <c r="E39" s="108" t="n">
        <f aca="false">SUM(E8:E38)</f>
        <v>330344</v>
      </c>
      <c r="F39" s="108" t="n">
        <f aca="false">+C39-B39+E39-D39</f>
        <v>-8526</v>
      </c>
      <c r="G39" s="234"/>
      <c r="H39" s="233"/>
      <c r="I39" s="108"/>
      <c r="J39" s="108"/>
      <c r="K39" s="235"/>
      <c r="L39" s="223"/>
      <c r="M39" s="233"/>
      <c r="N39" s="108"/>
      <c r="O39" s="108"/>
      <c r="P39" s="235"/>
      <c r="Q39" s="233"/>
      <c r="R39" s="108"/>
      <c r="S39" s="108"/>
      <c r="T39" s="235"/>
      <c r="U39" s="233"/>
      <c r="V39" s="108"/>
      <c r="W39" s="108"/>
      <c r="X39" s="235"/>
      <c r="Y39" s="233"/>
      <c r="Z39" s="108"/>
      <c r="AA39" s="108"/>
      <c r="AB39" s="235"/>
      <c r="AC39" s="233"/>
      <c r="AD39" s="108" t="n">
        <f aca="false">SUM(AD8:AD38)</f>
        <v>2716386</v>
      </c>
      <c r="AE39" s="108" t="n">
        <f aca="false">SUM(AE8:AE38)</f>
        <v>2762202</v>
      </c>
      <c r="AF39" s="235" t="n">
        <f aca="false">SUM(AF8:AF38)</f>
        <v>45816</v>
      </c>
      <c r="AG39" s="233"/>
      <c r="AH39" s="108" t="n">
        <f aca="false">SUM(AH8:AH38)</f>
        <v>2967543</v>
      </c>
      <c r="AI39" s="108" t="n">
        <f aca="false">SUM(AI8:AI38)</f>
        <v>3032179</v>
      </c>
      <c r="AJ39" s="235" t="n">
        <f aca="false">SUM(AJ8:AJ38)</f>
        <v>64636</v>
      </c>
      <c r="AK39" s="233"/>
      <c r="AL39" s="108" t="n">
        <f aca="false">SUM(AL8:AL38)</f>
        <v>3649337</v>
      </c>
      <c r="AM39" s="108" t="n">
        <f aca="false">SUM(AM8:AM38)</f>
        <v>3723428</v>
      </c>
      <c r="AN39" s="235" t="n">
        <f aca="false">SUM(AN8:AN38)</f>
        <v>74091</v>
      </c>
      <c r="AO39" s="233"/>
      <c r="AP39" s="108" t="n">
        <f aca="false">SUM(AP8:AP38)</f>
        <v>4829953</v>
      </c>
      <c r="AQ39" s="108" t="n">
        <f aca="false">SUM(AQ8:AQ38)</f>
        <v>4834638</v>
      </c>
      <c r="AR39" s="235" t="n">
        <f aca="false">SUM(AR8:AR38)</f>
        <v>4685</v>
      </c>
      <c r="AS39" s="233"/>
      <c r="AT39" s="108" t="n">
        <f aca="false">SUM(AT8:AT38)</f>
        <v>5254669</v>
      </c>
      <c r="AU39" s="108" t="n">
        <f aca="false">SUM(AU8:AU38)</f>
        <v>5299130</v>
      </c>
      <c r="AV39" s="235" t="n">
        <f aca="false">SUM(AV8:AV38)</f>
        <v>44461</v>
      </c>
    </row>
    <row r="40" customFormat="false" ht="12.75" hidden="false" customHeight="false" outlineLevel="0" collapsed="false">
      <c r="A40" s="226"/>
      <c r="B40" s="223"/>
      <c r="C40" s="223"/>
      <c r="D40" s="223"/>
      <c r="E40" s="223"/>
      <c r="F40" s="234"/>
      <c r="G40" s="234"/>
      <c r="H40" s="226"/>
      <c r="I40" s="223"/>
      <c r="J40" s="223"/>
      <c r="K40" s="223"/>
      <c r="L40" s="223"/>
      <c r="M40" s="226"/>
      <c r="N40" s="223"/>
      <c r="O40" s="223"/>
      <c r="P40" s="223"/>
      <c r="Q40" s="226"/>
      <c r="R40" s="223"/>
      <c r="S40" s="223"/>
      <c r="T40" s="223"/>
      <c r="U40" s="226"/>
      <c r="V40" s="223"/>
      <c r="W40" s="223"/>
      <c r="X40" s="223"/>
      <c r="Y40" s="226"/>
      <c r="Z40" s="223"/>
      <c r="AA40" s="223"/>
      <c r="AB40" s="223"/>
      <c r="AC40" s="226"/>
      <c r="AD40" s="223"/>
      <c r="AE40" s="223"/>
      <c r="AF40" s="223"/>
      <c r="AG40" s="226"/>
      <c r="AH40" s="223"/>
      <c r="AI40" s="223"/>
      <c r="AJ40" s="223"/>
      <c r="AK40" s="226"/>
      <c r="AL40" s="223"/>
      <c r="AM40" s="223"/>
      <c r="AN40" s="223"/>
      <c r="AO40" s="226"/>
      <c r="AP40" s="223"/>
      <c r="AQ40" s="223"/>
      <c r="AR40" s="223"/>
      <c r="AS40" s="226"/>
      <c r="AT40" s="223"/>
      <c r="AU40" s="223"/>
      <c r="AV40" s="223"/>
    </row>
    <row r="41" customFormat="false" ht="12.75" hidden="false" customHeight="false" outlineLevel="0" collapsed="false">
      <c r="A41" s="226"/>
      <c r="B41" s="234"/>
      <c r="C41" s="41"/>
      <c r="D41" s="41"/>
      <c r="E41" s="41"/>
      <c r="F41" s="236"/>
      <c r="G41" s="234"/>
      <c r="H41" s="226"/>
      <c r="I41" s="234"/>
      <c r="J41" s="41"/>
      <c r="K41" s="223"/>
      <c r="L41" s="223"/>
      <c r="M41" s="226"/>
      <c r="N41" s="234"/>
      <c r="O41" s="41"/>
      <c r="P41" s="223"/>
      <c r="Q41" s="226"/>
      <c r="R41" s="234"/>
      <c r="S41" s="41"/>
      <c r="T41" s="223"/>
      <c r="U41" s="226"/>
      <c r="V41" s="234"/>
      <c r="W41" s="41"/>
      <c r="X41" s="223"/>
      <c r="Y41" s="226"/>
      <c r="Z41" s="234"/>
      <c r="AA41" s="41"/>
      <c r="AB41" s="223"/>
      <c r="AC41" s="226"/>
      <c r="AD41" s="234"/>
      <c r="AE41" s="41"/>
      <c r="AF41" s="223"/>
      <c r="AG41" s="226"/>
      <c r="AH41" s="234"/>
      <c r="AI41" s="41"/>
      <c r="AJ41" s="223"/>
      <c r="AK41" s="226"/>
      <c r="AL41" s="234"/>
      <c r="AM41" s="41"/>
      <c r="AN41" s="223"/>
      <c r="AO41" s="226"/>
      <c r="AP41" s="234"/>
      <c r="AQ41" s="41"/>
      <c r="AR41" s="223"/>
      <c r="AS41" s="226"/>
      <c r="AT41" s="234"/>
      <c r="AU41" s="41"/>
      <c r="AV41" s="223"/>
    </row>
    <row r="42" customFormat="false" ht="12.75" hidden="false" customHeight="false" outlineLevel="0" collapsed="false">
      <c r="A42" s="221"/>
      <c r="B42" s="237" t="n">
        <v>37103</v>
      </c>
      <c r="C42" s="41"/>
      <c r="D42" s="41"/>
      <c r="E42" s="41"/>
      <c r="F42" s="154" t="n">
        <v>147133</v>
      </c>
      <c r="G42" s="226"/>
      <c r="I42" s="234"/>
      <c r="J42" s="41"/>
      <c r="K42" s="147"/>
      <c r="L42" s="223"/>
      <c r="M42" s="221"/>
      <c r="N42" s="234"/>
      <c r="O42" s="41"/>
      <c r="P42" s="147"/>
      <c r="Q42" s="221"/>
      <c r="R42" s="234"/>
      <c r="S42" s="41"/>
      <c r="T42" s="147"/>
      <c r="U42" s="221"/>
      <c r="V42" s="234"/>
      <c r="W42" s="41"/>
      <c r="X42" s="147"/>
      <c r="Y42" s="221"/>
      <c r="Z42" s="237"/>
      <c r="AA42" s="41"/>
      <c r="AB42" s="147"/>
      <c r="AC42" s="221"/>
      <c r="AD42" s="237" t="n">
        <v>36464</v>
      </c>
      <c r="AE42" s="41"/>
      <c r="AF42" s="147" t="n">
        <v>44054</v>
      </c>
      <c r="AG42" s="221"/>
      <c r="AH42" s="237" t="n">
        <v>36494</v>
      </c>
      <c r="AI42" s="41"/>
      <c r="AJ42" s="147" t="n">
        <v>80035</v>
      </c>
      <c r="AK42" s="221"/>
      <c r="AL42" s="237" t="n">
        <v>36525</v>
      </c>
      <c r="AM42" s="41"/>
      <c r="AN42" s="147" t="n">
        <v>144671</v>
      </c>
      <c r="AO42" s="221"/>
      <c r="AP42" s="237" t="n">
        <v>36556</v>
      </c>
      <c r="AQ42" s="41"/>
      <c r="AR42" s="147" t="n">
        <v>218762</v>
      </c>
      <c r="AS42" s="221"/>
      <c r="AT42" s="237"/>
      <c r="AU42" s="41"/>
      <c r="AV42" s="108"/>
    </row>
    <row r="43" customFormat="false" ht="12.75" hidden="false" customHeight="false" outlineLevel="0" collapsed="false">
      <c r="A43" s="221"/>
      <c r="B43" s="237" t="n">
        <v>37130</v>
      </c>
      <c r="C43" s="223"/>
      <c r="D43" s="223"/>
      <c r="E43" s="223"/>
      <c r="F43" s="108" t="n">
        <f aca="false">+F42+F39</f>
        <v>138607</v>
      </c>
      <c r="G43" s="226"/>
      <c r="K43" s="223"/>
      <c r="L43" s="223"/>
      <c r="M43" s="221"/>
      <c r="P43" s="223"/>
      <c r="Q43" s="221"/>
      <c r="T43" s="223"/>
      <c r="U43" s="221"/>
      <c r="X43" s="223"/>
      <c r="Y43" s="221"/>
      <c r="AB43" s="223"/>
      <c r="AC43" s="221"/>
      <c r="AF43" s="223"/>
      <c r="AG43" s="221"/>
      <c r="AJ43" s="223"/>
      <c r="AK43" s="221"/>
      <c r="AN43" s="223"/>
      <c r="AO43" s="221"/>
      <c r="AR43" s="223"/>
      <c r="AS43" s="221"/>
      <c r="AT43" s="223"/>
      <c r="AU43" s="223"/>
      <c r="AV43" s="223"/>
    </row>
    <row r="44" customFormat="false" ht="12.75" hidden="false" customHeight="false" outlineLevel="0" collapsed="false">
      <c r="A44" s="226"/>
      <c r="B44" s="223"/>
      <c r="C44" s="223"/>
      <c r="D44" s="223"/>
      <c r="E44" s="223"/>
      <c r="F44" s="128"/>
      <c r="G44" s="226"/>
      <c r="H44" s="226"/>
      <c r="I44" s="223"/>
      <c r="J44" s="223"/>
      <c r="K44" s="223"/>
      <c r="L44" s="223"/>
      <c r="M44" s="226"/>
      <c r="N44" s="223"/>
      <c r="O44" s="223"/>
      <c r="P44" s="223"/>
      <c r="Q44" s="226"/>
      <c r="R44" s="223"/>
      <c r="S44" s="223"/>
      <c r="T44" s="223"/>
      <c r="U44" s="226"/>
      <c r="V44" s="223"/>
      <c r="W44" s="223"/>
      <c r="X44" s="223"/>
      <c r="Y44" s="226"/>
      <c r="Z44" s="223"/>
      <c r="AA44" s="223"/>
      <c r="AB44" s="223"/>
      <c r="AC44" s="226"/>
      <c r="AD44" s="223"/>
      <c r="AE44" s="223"/>
      <c r="AF44" s="223"/>
      <c r="AG44" s="226"/>
      <c r="AH44" s="223"/>
      <c r="AI44" s="223"/>
      <c r="AJ44" s="223"/>
      <c r="AK44" s="226"/>
      <c r="AL44" s="223"/>
      <c r="AM44" s="223"/>
      <c r="AN44" s="223"/>
      <c r="AO44" s="226"/>
      <c r="AP44" s="223"/>
      <c r="AQ44" s="223"/>
      <c r="AR44" s="223"/>
      <c r="AS44" s="226"/>
      <c r="AT44" s="223"/>
      <c r="AU44" s="223"/>
      <c r="AV44" s="238"/>
    </row>
    <row r="45" customFormat="false" ht="12.75" hidden="false" customHeight="false" outlineLevel="0" collapsed="false">
      <c r="A45" s="227"/>
      <c r="F45" s="128"/>
      <c r="G45" s="226"/>
      <c r="H45" s="226"/>
      <c r="I45" s="41"/>
      <c r="J45" s="223"/>
      <c r="K45" s="235"/>
      <c r="L45" s="223"/>
      <c r="M45" s="226"/>
      <c r="N45" s="41"/>
      <c r="O45" s="223"/>
      <c r="P45" s="235"/>
      <c r="Q45" s="226"/>
      <c r="R45" s="41"/>
      <c r="S45" s="223"/>
      <c r="T45" s="235"/>
      <c r="U45" s="226"/>
      <c r="V45" s="41"/>
      <c r="W45" s="223"/>
      <c r="X45" s="235"/>
      <c r="Y45" s="226"/>
      <c r="Z45" s="41"/>
      <c r="AA45" s="223"/>
      <c r="AB45" s="235"/>
      <c r="AC45" s="226"/>
      <c r="AD45" s="41" t="s">
        <v>143</v>
      </c>
      <c r="AE45" s="223"/>
      <c r="AF45" s="235" t="n">
        <f aca="false">+AF42+AF39</f>
        <v>89870</v>
      </c>
      <c r="AG45" s="226"/>
      <c r="AH45" s="41" t="s">
        <v>144</v>
      </c>
      <c r="AI45" s="223"/>
      <c r="AJ45" s="235" t="n">
        <f aca="false">+AJ42+AJ39</f>
        <v>144671</v>
      </c>
      <c r="AK45" s="226"/>
      <c r="AL45" s="41" t="s">
        <v>145</v>
      </c>
      <c r="AM45" s="223"/>
      <c r="AN45" s="239" t="n">
        <f aca="false">+AN42+AN39</f>
        <v>218762</v>
      </c>
      <c r="AO45" s="226"/>
      <c r="AP45" s="41" t="s">
        <v>146</v>
      </c>
      <c r="AQ45" s="223"/>
      <c r="AR45" s="239" t="n">
        <f aca="false">+AR42+AR39</f>
        <v>223447</v>
      </c>
      <c r="AS45" s="226"/>
      <c r="AT45" s="41"/>
      <c r="AU45" s="223"/>
      <c r="AV45" s="240"/>
      <c r="AW45" s="226"/>
      <c r="AX45" s="41"/>
      <c r="AY45" s="223"/>
      <c r="AZ45" s="240"/>
    </row>
    <row r="46" customFormat="false" ht="12.75" hidden="false" customHeight="false" outlineLevel="0" collapsed="false">
      <c r="A46" s="227"/>
      <c r="F46" s="241"/>
      <c r="G46" s="226"/>
      <c r="H46" s="226"/>
      <c r="I46" s="223"/>
      <c r="J46" s="223"/>
      <c r="K46" s="223"/>
      <c r="L46" s="223"/>
      <c r="M46" s="226"/>
      <c r="N46" s="223"/>
      <c r="O46" s="223"/>
      <c r="P46" s="223"/>
      <c r="Q46" s="226"/>
      <c r="R46" s="223"/>
      <c r="S46" s="223"/>
      <c r="T46" s="223"/>
      <c r="U46" s="223"/>
      <c r="V46" s="223"/>
      <c r="W46" s="223"/>
      <c r="AT46" s="223"/>
      <c r="AU46" s="223"/>
      <c r="AV46" s="238"/>
    </row>
    <row r="47" customFormat="false" ht="12.75" hidden="false" customHeight="false" outlineLevel="0" collapsed="false">
      <c r="H47" s="226"/>
      <c r="I47" s="223"/>
      <c r="J47" s="223"/>
      <c r="K47" s="223"/>
      <c r="L47" s="223"/>
      <c r="M47" s="226"/>
      <c r="N47" s="223"/>
      <c r="O47" s="223"/>
      <c r="P47" s="223"/>
      <c r="Q47" s="226"/>
      <c r="R47" s="223"/>
      <c r="S47" s="223"/>
      <c r="T47" s="223"/>
      <c r="U47" s="223"/>
      <c r="V47" s="223"/>
      <c r="W47" s="223"/>
      <c r="AR47" s="242" t="n">
        <v>2.21</v>
      </c>
      <c r="AT47" s="223"/>
      <c r="AU47" s="223"/>
      <c r="AV47" s="243"/>
    </row>
    <row r="48" customFormat="false" ht="13.5" hidden="false" customHeight="false" outlineLevel="0" collapsed="false">
      <c r="H48" s="226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AR48" s="244" t="n">
        <f aca="false">+AR47*AR45</f>
        <v>493817.87</v>
      </c>
      <c r="AT48" s="223"/>
      <c r="AU48" s="223"/>
      <c r="AV48" s="245"/>
    </row>
    <row r="49" customFormat="false" ht="13.5" hidden="false" customHeight="false" outlineLevel="0" collapsed="false">
      <c r="A49" s="9" t="s">
        <v>147</v>
      </c>
      <c r="B49" s="9"/>
      <c r="C49" s="9"/>
      <c r="D49" s="9"/>
      <c r="H49" s="226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AT49" s="223"/>
      <c r="AU49" s="223"/>
      <c r="AV49" s="223"/>
    </row>
    <row r="50" customFormat="false" ht="12.75" hidden="false" customHeight="false" outlineLevel="0" collapsed="false">
      <c r="A50" s="124" t="n">
        <f aca="false">+B42</f>
        <v>37103</v>
      </c>
      <c r="B50" s="9"/>
      <c r="C50" s="9"/>
      <c r="D50" s="125" t="n">
        <v>689831.48</v>
      </c>
      <c r="H50" s="226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AH50" s="5" t="n">
        <v>48.75</v>
      </c>
    </row>
    <row r="51" customFormat="false" ht="12.75" hidden="false" customHeight="false" outlineLevel="0" collapsed="false">
      <c r="A51" s="124" t="n">
        <f aca="false">+B43</f>
        <v>37130</v>
      </c>
      <c r="B51" s="9"/>
      <c r="C51" s="9"/>
      <c r="D51" s="126" t="n">
        <f aca="false">+F39*'by type'!J3</f>
        <v>-22423.38</v>
      </c>
      <c r="H51" s="226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AH51" s="5" t="n">
        <v>15.25</v>
      </c>
      <c r="AR51" s="103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8" t="n">
        <f aca="false">+D51+D50</f>
        <v>667408.1</v>
      </c>
      <c r="H52" s="226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AH52" s="5" t="n">
        <f aca="false">+AH50-AH51</f>
        <v>33.5</v>
      </c>
    </row>
    <row r="53" customFormat="false" ht="12.75" hidden="false" customHeight="false" outlineLevel="0" collapsed="false">
      <c r="D53" s="130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AH53" s="5" t="n">
        <v>720</v>
      </c>
    </row>
    <row r="54" customFormat="false" ht="12.75" hidden="false" customHeight="false" outlineLevel="0" collapsed="false">
      <c r="D54" s="130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AH54" s="5" t="n">
        <f aca="false">+AH53*AH52</f>
        <v>24120</v>
      </c>
    </row>
    <row r="55" customFormat="false" ht="12.75" hidden="false" customHeight="false" outlineLevel="0" collapsed="false">
      <c r="D55" s="130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AH55" s="5" t="n">
        <v>0.35</v>
      </c>
    </row>
    <row r="56" customFormat="false" ht="12.75" hidden="false" customHeight="false" outlineLevel="0" collapsed="false">
      <c r="D56" s="130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AH56" s="5" t="n">
        <f aca="false">+AH55*AH54</f>
        <v>8442</v>
      </c>
    </row>
    <row r="57" customFormat="false" ht="12.75" hidden="false" customHeight="false" outlineLevel="0" collapsed="false"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AH57" s="5" t="n">
        <f aca="false">+AH54-AH56</f>
        <v>15678</v>
      </c>
    </row>
    <row r="58" customFormat="false" ht="12.75" hidden="false" customHeight="false" outlineLevel="0" collapsed="false"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</row>
    <row r="59" customFormat="false" ht="12.75" hidden="false" customHeight="false" outlineLevel="0" collapsed="false"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</row>
    <row r="60" customFormat="false" ht="12.75" hidden="false" customHeight="false" outlineLevel="0" collapsed="false"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</row>
    <row r="61" customFormat="false" ht="12.75" hidden="false" customHeight="false" outlineLevel="0" collapsed="false"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</row>
    <row r="62" customFormat="false" ht="20.1" hidden="false" customHeight="true" outlineLevel="0" collapsed="false"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</row>
    <row r="63" customFormat="false" ht="20.1" hidden="false" customHeight="true" outlineLevel="0" collapsed="false"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</row>
    <row r="64" customFormat="false" ht="20.1" hidden="false" customHeight="true" outlineLevel="0" collapsed="false"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</row>
    <row r="65" customFormat="false" ht="20.1" hidden="false" customHeight="true" outlineLevel="0" collapsed="false"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</row>
    <row r="66" customFormat="false" ht="20.1" hidden="false" customHeight="true" outlineLevel="0" collapsed="false"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</row>
    <row r="67" customFormat="false" ht="20.1" hidden="false" customHeight="true" outlineLevel="0" collapsed="false"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</row>
    <row r="68" customFormat="false" ht="20.1" hidden="false" customHeight="true" outlineLevel="0" collapsed="false"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</row>
    <row r="69" customFormat="false" ht="20.1" hidden="false" customHeight="true" outlineLevel="0" collapsed="false">
      <c r="H69" s="226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</row>
    <row r="70" customFormat="false" ht="20.1" hidden="false" customHeight="true" outlineLevel="0" collapsed="false">
      <c r="H70" s="226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</row>
    <row r="71" customFormat="false" ht="20.1" hidden="false" customHeight="true" outlineLevel="0" collapsed="false"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</row>
    <row r="72" customFormat="false" ht="21" hidden="false" customHeight="true" outlineLevel="0" collapsed="false"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</row>
    <row r="73" customFormat="false" ht="12.75" hidden="false" customHeight="false" outlineLevel="0" collapsed="false">
      <c r="H73" s="226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</row>
    <row r="74" customFormat="false" ht="12.75" hidden="false" customHeight="false" outlineLevel="0" collapsed="false">
      <c r="H74" s="226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</row>
    <row r="75" customFormat="false" ht="12.75" hidden="false" customHeight="false" outlineLevel="0" collapsed="false">
      <c r="H75" s="226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</row>
    <row r="76" customFormat="false" ht="12.75" hidden="false" customHeight="false" outlineLevel="0" collapsed="false">
      <c r="H76" s="226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</row>
    <row r="77" customFormat="false" ht="12.75" hidden="false" customHeight="false" outlineLevel="0" collapsed="false">
      <c r="H77" s="226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</row>
    <row r="78" customFormat="false" ht="12.75" hidden="false" customHeight="false" outlineLevel="0" collapsed="false">
      <c r="H78" s="226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</row>
    <row r="79" customFormat="false" ht="12.75" hidden="false" customHeight="false" outlineLevel="0" collapsed="false">
      <c r="A79" s="246" t="s">
        <v>81</v>
      </c>
      <c r="F79" s="223"/>
      <c r="G79" s="226"/>
      <c r="H79" s="226"/>
    </row>
    <row r="80" customFormat="false" ht="12.75" hidden="false" customHeight="false" outlineLevel="0" collapsed="false">
      <c r="A80" s="246" t="s">
        <v>148</v>
      </c>
      <c r="F80" s="223"/>
      <c r="G80" s="226"/>
      <c r="H80" s="226"/>
    </row>
    <row r="81" customFormat="false" ht="12.75" hidden="false" customHeight="false" outlineLevel="0" collapsed="false">
      <c r="A81" s="246" t="s">
        <v>149</v>
      </c>
      <c r="F81" s="223"/>
      <c r="G81" s="226"/>
    </row>
    <row r="84" customFormat="false" ht="12.75" hidden="false" customHeight="false" outlineLevel="0" collapsed="false">
      <c r="A84" s="228"/>
      <c r="B84" s="230" t="s">
        <v>150</v>
      </c>
      <c r="C84" s="230" t="s">
        <v>32</v>
      </c>
      <c r="D84" s="230"/>
      <c r="E84" s="230"/>
      <c r="F84" s="228"/>
      <c r="H84" s="228"/>
      <c r="I84" s="230" t="s">
        <v>150</v>
      </c>
      <c r="J84" s="230" t="s">
        <v>32</v>
      </c>
      <c r="K84" s="228"/>
    </row>
    <row r="85" customFormat="false" ht="12.75" hidden="false" customHeight="false" outlineLevel="0" collapsed="false">
      <c r="A85" s="228"/>
      <c r="B85" s="247" t="s">
        <v>117</v>
      </c>
      <c r="C85" s="247" t="s">
        <v>118</v>
      </c>
      <c r="D85" s="247"/>
      <c r="E85" s="247"/>
      <c r="F85" s="248" t="s">
        <v>119</v>
      </c>
      <c r="H85" s="228"/>
      <c r="I85" s="247" t="s">
        <v>117</v>
      </c>
      <c r="J85" s="247" t="s">
        <v>118</v>
      </c>
      <c r="K85" s="248" t="s">
        <v>119</v>
      </c>
    </row>
    <row r="86" customFormat="false" ht="12.75" hidden="false" customHeight="false" outlineLevel="0" collapsed="false">
      <c r="A86" s="249" t="n">
        <v>36100</v>
      </c>
      <c r="B86" s="250" t="n">
        <v>11369</v>
      </c>
      <c r="C86" s="251" t="n">
        <v>2.02</v>
      </c>
      <c r="D86" s="251"/>
      <c r="E86" s="251"/>
      <c r="F86" s="226" t="n">
        <f aca="false">+C86*B86</f>
        <v>22965.38</v>
      </c>
      <c r="H86" s="249" t="n">
        <v>35735</v>
      </c>
      <c r="I86" s="250" t="n">
        <v>19437</v>
      </c>
      <c r="J86" s="251" t="n">
        <v>2.7</v>
      </c>
      <c r="K86" s="226" t="n">
        <f aca="false">+J86*I86</f>
        <v>52479.9</v>
      </c>
    </row>
    <row r="87" customFormat="false" ht="12.75" hidden="false" customHeight="false" outlineLevel="0" collapsed="false">
      <c r="A87" s="249" t="n">
        <v>36130</v>
      </c>
      <c r="B87" s="250" t="n">
        <v>88047</v>
      </c>
      <c r="C87" s="251" t="n">
        <v>1.79</v>
      </c>
      <c r="D87" s="251"/>
      <c r="E87" s="251"/>
      <c r="F87" s="226" t="n">
        <f aca="false">+C87*B87</f>
        <v>157604.13</v>
      </c>
      <c r="H87" s="249" t="n">
        <v>35765</v>
      </c>
      <c r="I87" s="250" t="n">
        <v>11409</v>
      </c>
      <c r="J87" s="251" t="n">
        <v>2.16</v>
      </c>
      <c r="K87" s="226" t="n">
        <f aca="false">+J87*I87</f>
        <v>24643.44</v>
      </c>
    </row>
    <row r="88" customFormat="false" ht="12.75" hidden="false" customHeight="false" outlineLevel="0" collapsed="false">
      <c r="A88" s="249" t="n">
        <v>36161</v>
      </c>
      <c r="B88" s="250" t="n">
        <v>22026</v>
      </c>
      <c r="C88" s="251" t="n">
        <v>1.7</v>
      </c>
      <c r="D88" s="251"/>
      <c r="E88" s="251"/>
      <c r="F88" s="226" t="n">
        <f aca="false">+C88*B88</f>
        <v>37444.2</v>
      </c>
      <c r="H88" s="249" t="n">
        <v>35796</v>
      </c>
      <c r="I88" s="250" t="n">
        <v>13417</v>
      </c>
      <c r="J88" s="251" t="n">
        <v>1.96</v>
      </c>
      <c r="K88" s="226" t="n">
        <f aca="false">+J88*I88</f>
        <v>26297.32</v>
      </c>
    </row>
    <row r="89" customFormat="false" ht="12.75" hidden="false" customHeight="false" outlineLevel="0" collapsed="false">
      <c r="A89" s="249" t="n">
        <v>36192</v>
      </c>
      <c r="B89" s="250" t="n">
        <v>12888</v>
      </c>
      <c r="C89" s="251" t="n">
        <v>1.61</v>
      </c>
      <c r="D89" s="251"/>
      <c r="E89" s="251"/>
      <c r="F89" s="226" t="n">
        <f aca="false">+C89*B89</f>
        <v>20749.68</v>
      </c>
      <c r="H89" s="249" t="n">
        <v>35827</v>
      </c>
      <c r="I89" s="250" t="n">
        <v>21244</v>
      </c>
      <c r="J89" s="251" t="n">
        <v>2.03</v>
      </c>
      <c r="K89" s="226" t="n">
        <f aca="false">+J89*I89</f>
        <v>43125.32</v>
      </c>
    </row>
    <row r="90" customFormat="false" ht="12.75" hidden="false" customHeight="false" outlineLevel="0" collapsed="false">
      <c r="A90" s="249" t="n">
        <v>36220</v>
      </c>
      <c r="B90" s="250" t="n">
        <v>29</v>
      </c>
      <c r="C90" s="251" t="n">
        <v>1.56</v>
      </c>
      <c r="D90" s="251"/>
      <c r="E90" s="251"/>
      <c r="F90" s="226" t="n">
        <f aca="false">+C90*B90</f>
        <v>45.24</v>
      </c>
      <c r="H90" s="249" t="n">
        <v>35855</v>
      </c>
      <c r="I90" s="250" t="n">
        <v>19170</v>
      </c>
      <c r="J90" s="251" t="n">
        <v>2.1</v>
      </c>
      <c r="K90" s="226" t="n">
        <f aca="false">+J90*I90</f>
        <v>40257</v>
      </c>
    </row>
    <row r="91" customFormat="false" ht="12.75" hidden="false" customHeight="false" outlineLevel="0" collapsed="false">
      <c r="A91" s="249" t="n">
        <v>36251</v>
      </c>
      <c r="B91" s="250" t="n">
        <v>31188</v>
      </c>
      <c r="C91" s="251" t="n">
        <v>1.9</v>
      </c>
      <c r="D91" s="251"/>
      <c r="E91" s="251"/>
      <c r="F91" s="226" t="n">
        <f aca="false">+C91*B91</f>
        <v>59257.2</v>
      </c>
      <c r="H91" s="249" t="n">
        <v>35886</v>
      </c>
      <c r="I91" s="250" t="n">
        <v>26776</v>
      </c>
      <c r="J91" s="251" t="n">
        <v>2.2</v>
      </c>
      <c r="K91" s="226" t="n">
        <f aca="false">+J91*I91</f>
        <v>58907.2</v>
      </c>
    </row>
    <row r="92" customFormat="false" ht="12.75" hidden="false" customHeight="false" outlineLevel="0" collapsed="false">
      <c r="A92" s="249" t="n">
        <v>36281</v>
      </c>
      <c r="B92" s="250" t="n">
        <f aca="false">3252482-3155382</f>
        <v>97100</v>
      </c>
      <c r="C92" s="251" t="n">
        <v>2.02</v>
      </c>
      <c r="D92" s="251"/>
      <c r="E92" s="251"/>
      <c r="F92" s="226" t="n">
        <f aca="false">+C92*B92</f>
        <v>196142</v>
      </c>
      <c r="H92" s="249" t="n">
        <v>35916</v>
      </c>
      <c r="I92" s="250" t="n">
        <v>30102</v>
      </c>
      <c r="J92" s="251" t="n">
        <v>1.88</v>
      </c>
      <c r="K92" s="226" t="n">
        <f aca="false">+J92*I92</f>
        <v>56591.76</v>
      </c>
    </row>
    <row r="93" customFormat="false" ht="12.75" hidden="false" customHeight="false" outlineLevel="0" collapsed="false">
      <c r="A93" s="112" t="n">
        <v>36312</v>
      </c>
      <c r="B93" s="250" t="n">
        <v>48333</v>
      </c>
      <c r="C93" s="251" t="n">
        <v>1.96</v>
      </c>
      <c r="D93" s="251"/>
      <c r="E93" s="251"/>
      <c r="F93" s="226" t="n">
        <f aca="false">+C93*B93</f>
        <v>94732.68</v>
      </c>
      <c r="H93" s="112" t="n">
        <v>35947</v>
      </c>
      <c r="I93" s="250" t="n">
        <v>17068</v>
      </c>
      <c r="J93" s="251" t="n">
        <v>1.64</v>
      </c>
      <c r="K93" s="226" t="n">
        <f aca="false">+J93*I93</f>
        <v>27991.52</v>
      </c>
    </row>
    <row r="94" customFormat="false" ht="12.75" hidden="false" customHeight="false" outlineLevel="0" collapsed="false">
      <c r="A94" s="249" t="n">
        <v>36342</v>
      </c>
      <c r="B94" s="250" t="n">
        <v>-72504</v>
      </c>
      <c r="C94" s="251" t="n">
        <v>2.01</v>
      </c>
      <c r="D94" s="251"/>
      <c r="E94" s="251"/>
      <c r="F94" s="226" t="n">
        <f aca="false">+C94*B94</f>
        <v>-145733.04</v>
      </c>
      <c r="H94" s="249" t="n">
        <v>35977</v>
      </c>
      <c r="I94" s="250" t="n">
        <v>24452</v>
      </c>
      <c r="J94" s="251" t="n">
        <v>1.87</v>
      </c>
      <c r="K94" s="226" t="n">
        <f aca="false">+J94*I94</f>
        <v>45725.24</v>
      </c>
    </row>
    <row r="95" customFormat="false" ht="12.75" hidden="false" customHeight="false" outlineLevel="0" collapsed="false">
      <c r="A95" s="249" t="n">
        <v>36373</v>
      </c>
      <c r="B95" s="250" t="n">
        <v>-6559</v>
      </c>
      <c r="C95" s="251" t="n">
        <v>2.35</v>
      </c>
      <c r="D95" s="251"/>
      <c r="E95" s="251"/>
      <c r="F95" s="226" t="n">
        <f aca="false">+C95*B95</f>
        <v>-15413.65</v>
      </c>
      <c r="H95" s="249" t="n">
        <v>36008</v>
      </c>
      <c r="I95" s="250" t="n">
        <v>26181</v>
      </c>
      <c r="J95" s="251" t="n">
        <v>1.71</v>
      </c>
      <c r="K95" s="226" t="n">
        <f aca="false">+J95*I95</f>
        <v>44769.51</v>
      </c>
    </row>
    <row r="96" customFormat="false" ht="12.75" hidden="false" customHeight="false" outlineLevel="0" collapsed="false">
      <c r="A96" s="249" t="n">
        <v>36404</v>
      </c>
      <c r="B96" s="250" t="n">
        <v>-73056</v>
      </c>
      <c r="C96" s="251" t="n">
        <v>2.29</v>
      </c>
      <c r="D96" s="251"/>
      <c r="E96" s="251"/>
      <c r="F96" s="226" t="n">
        <f aca="false">+C96*B96</f>
        <v>-167298.24</v>
      </c>
      <c r="H96" s="249" t="n">
        <v>36039</v>
      </c>
      <c r="I96" s="250" t="n">
        <v>14386</v>
      </c>
      <c r="J96" s="251" t="n">
        <v>1.65</v>
      </c>
      <c r="K96" s="226" t="n">
        <f aca="false">+J96*I96</f>
        <v>23736.9</v>
      </c>
    </row>
    <row r="97" customFormat="false" ht="12.75" hidden="false" customHeight="false" outlineLevel="0" collapsed="false">
      <c r="A97" s="249" t="n">
        <v>36434</v>
      </c>
      <c r="B97" s="250" t="n">
        <v>-4807</v>
      </c>
      <c r="C97" s="251" t="n">
        <v>2.59</v>
      </c>
      <c r="D97" s="251"/>
      <c r="E97" s="251"/>
      <c r="F97" s="226" t="n">
        <f aca="false">+C97*B97</f>
        <v>-12450.13</v>
      </c>
      <c r="H97" s="249" t="n">
        <v>36069</v>
      </c>
      <c r="I97" s="250" t="n">
        <v>18644</v>
      </c>
      <c r="J97" s="251" t="n">
        <v>1.73</v>
      </c>
      <c r="K97" s="226" t="n">
        <f aca="false">+J97*I97</f>
        <v>32254.12</v>
      </c>
    </row>
    <row r="98" customFormat="false" ht="12.75" hidden="false" customHeight="false" outlineLevel="0" collapsed="false">
      <c r="A98" s="249" t="n">
        <v>36465</v>
      </c>
      <c r="B98" s="250" t="n">
        <v>35981</v>
      </c>
      <c r="C98" s="251" t="n">
        <v>2.14</v>
      </c>
      <c r="D98" s="251"/>
      <c r="E98" s="251"/>
      <c r="F98" s="226" t="n">
        <f aca="false">+C98*B98</f>
        <v>76999.34</v>
      </c>
      <c r="H98" s="249" t="n">
        <v>36100</v>
      </c>
      <c r="I98" s="250" t="n">
        <v>21859</v>
      </c>
      <c r="J98" s="251" t="n">
        <v>2.02</v>
      </c>
      <c r="K98" s="226" t="n">
        <f aca="false">+J98*I98</f>
        <v>44155.18</v>
      </c>
    </row>
    <row r="99" customFormat="false" ht="12.75" hidden="false" customHeight="false" outlineLevel="0" collapsed="false">
      <c r="A99" s="112" t="n">
        <v>36495</v>
      </c>
      <c r="B99" s="250" t="n">
        <v>64636</v>
      </c>
      <c r="C99" s="251" t="n">
        <v>2.21</v>
      </c>
      <c r="D99" s="251"/>
      <c r="E99" s="251"/>
      <c r="F99" s="226" t="n">
        <f aca="false">+C99*B99</f>
        <v>142845.56</v>
      </c>
      <c r="H99" s="249" t="n">
        <v>36130</v>
      </c>
      <c r="I99" s="250" t="n">
        <v>20077</v>
      </c>
      <c r="J99" s="251" t="n">
        <v>1.79</v>
      </c>
      <c r="K99" s="226" t="n">
        <f aca="false">+J99*I99</f>
        <v>35937.83</v>
      </c>
    </row>
    <row r="100" customFormat="false" ht="12.75" hidden="false" customHeight="false" outlineLevel="0" collapsed="false">
      <c r="A100" s="249" t="s">
        <v>151</v>
      </c>
      <c r="B100" s="250" t="n">
        <v>-110000</v>
      </c>
      <c r="C100" s="251" t="n">
        <f aca="false">+F100/B100</f>
        <v>2.02</v>
      </c>
      <c r="D100" s="251"/>
      <c r="E100" s="251"/>
      <c r="F100" s="226" t="n">
        <v>-222200</v>
      </c>
      <c r="H100" s="249" t="n">
        <v>36161</v>
      </c>
      <c r="I100" s="250" t="n">
        <v>3591</v>
      </c>
      <c r="J100" s="251" t="n">
        <v>1.7</v>
      </c>
      <c r="K100" s="226" t="n">
        <f aca="false">+J100*I100</f>
        <v>6104.7</v>
      </c>
    </row>
    <row r="101" customFormat="false" ht="12.75" hidden="false" customHeight="false" outlineLevel="0" collapsed="false">
      <c r="A101" s="228" t="s">
        <v>152</v>
      </c>
      <c r="B101" s="252" t="n">
        <f aca="false">SUM(B86:B100)</f>
        <v>144671</v>
      </c>
      <c r="C101" s="253" t="n">
        <f aca="false">+F101/B101</f>
        <v>1.69826952188068</v>
      </c>
      <c r="D101" s="253"/>
      <c r="E101" s="253"/>
      <c r="F101" s="254" t="n">
        <f aca="false">SUM(F86:F100)</f>
        <v>245690.35</v>
      </c>
      <c r="G101" s="226"/>
      <c r="H101" s="249" t="n">
        <v>36192</v>
      </c>
      <c r="I101" s="250" t="n">
        <v>6701</v>
      </c>
      <c r="J101" s="251" t="n">
        <v>1.61</v>
      </c>
      <c r="K101" s="226" t="n">
        <f aca="false">+J101*I101</f>
        <v>10788.61</v>
      </c>
    </row>
    <row r="102" customFormat="false" ht="12.75" hidden="false" customHeight="false" outlineLevel="0" collapsed="false">
      <c r="A102" s="228" t="s">
        <v>153</v>
      </c>
      <c r="B102" s="247" t="n">
        <f aca="false">+AN39</f>
        <v>74091</v>
      </c>
      <c r="C102" s="255" t="n">
        <v>2.2</v>
      </c>
      <c r="D102" s="255"/>
      <c r="E102" s="255"/>
      <c r="F102" s="256" t="n">
        <f aca="false">+C102*B102</f>
        <v>163000.2</v>
      </c>
      <c r="G102" s="226"/>
      <c r="H102" s="249" t="n">
        <v>36220</v>
      </c>
      <c r="I102" s="250" t="n">
        <v>5383</v>
      </c>
      <c r="J102" s="251" t="n">
        <v>1.56</v>
      </c>
      <c r="K102" s="226" t="n">
        <f aca="false">+J102*I102</f>
        <v>8397.48</v>
      </c>
    </row>
    <row r="103" customFormat="false" ht="12.75" hidden="false" customHeight="false" outlineLevel="0" collapsed="false">
      <c r="A103" s="190" t="s">
        <v>154</v>
      </c>
      <c r="B103" s="250" t="n">
        <f aca="false">+B102+B101</f>
        <v>218762</v>
      </c>
      <c r="C103" s="257" t="n">
        <f aca="false">+F103/B103</f>
        <v>1.86819717318364</v>
      </c>
      <c r="D103" s="257"/>
      <c r="E103" s="257"/>
      <c r="F103" s="226" t="n">
        <f aca="false">+F102+F101</f>
        <v>408690.55</v>
      </c>
      <c r="H103" s="249" t="n">
        <v>36251</v>
      </c>
      <c r="I103" s="250" t="n">
        <v>17558</v>
      </c>
      <c r="J103" s="251" t="n">
        <v>1.9</v>
      </c>
      <c r="K103" s="226" t="n">
        <f aca="false">+J103*I103</f>
        <v>33360.2</v>
      </c>
    </row>
    <row r="104" customFormat="false" ht="12.75" hidden="false" customHeight="false" outlineLevel="0" collapsed="false">
      <c r="A104" s="112"/>
      <c r="B104" s="250"/>
      <c r="C104" s="230"/>
      <c r="D104" s="230"/>
      <c r="E104" s="230"/>
      <c r="F104" s="136"/>
      <c r="H104" s="249" t="n">
        <v>36281</v>
      </c>
      <c r="I104" s="250" t="n">
        <v>16888</v>
      </c>
      <c r="J104" s="251" t="n">
        <v>2</v>
      </c>
      <c r="K104" s="226" t="n">
        <f aca="false">+J104*I104</f>
        <v>33776</v>
      </c>
    </row>
    <row r="105" customFormat="false" ht="12.75" hidden="false" customHeight="false" outlineLevel="0" collapsed="false">
      <c r="A105" s="249" t="s">
        <v>155</v>
      </c>
      <c r="B105" s="250" t="n">
        <f aca="false">+B103</f>
        <v>218762</v>
      </c>
      <c r="C105" s="251" t="n">
        <v>2.2</v>
      </c>
      <c r="D105" s="251"/>
      <c r="E105" s="251"/>
      <c r="F105" s="226" t="n">
        <f aca="false">+C105*B105</f>
        <v>481276.4</v>
      </c>
      <c r="H105" s="112" t="n">
        <v>36312</v>
      </c>
      <c r="I105" s="250" t="n">
        <v>24801</v>
      </c>
      <c r="J105" s="251" t="n">
        <v>1.96</v>
      </c>
      <c r="K105" s="226" t="n">
        <f aca="false">+J105*I105</f>
        <v>48609.96</v>
      </c>
    </row>
    <row r="106" customFormat="false" ht="12.75" hidden="false" customHeight="false" outlineLevel="0" collapsed="false">
      <c r="A106" s="249"/>
      <c r="B106" s="250"/>
      <c r="C106" s="251"/>
      <c r="D106" s="251"/>
      <c r="E106" s="251"/>
      <c r="F106" s="226"/>
      <c r="G106" s="226"/>
      <c r="H106" s="249" t="n">
        <v>36342</v>
      </c>
      <c r="I106" s="250" t="n">
        <v>23747</v>
      </c>
      <c r="J106" s="251" t="n">
        <v>2.01</v>
      </c>
      <c r="K106" s="226" t="n">
        <f aca="false">+J106*I106</f>
        <v>47731.47</v>
      </c>
    </row>
    <row r="107" customFormat="false" ht="12.75" hidden="false" customHeight="false" outlineLevel="0" collapsed="false">
      <c r="A107" s="249"/>
      <c r="B107" s="250"/>
      <c r="C107" s="251"/>
      <c r="D107" s="251"/>
      <c r="E107" s="251"/>
      <c r="F107" s="226"/>
      <c r="G107" s="226"/>
      <c r="H107" s="249" t="n">
        <v>36373</v>
      </c>
      <c r="I107" s="250" t="n">
        <v>21597</v>
      </c>
      <c r="J107" s="251" t="n">
        <v>2.35</v>
      </c>
      <c r="K107" s="226" t="n">
        <f aca="false">+J107*I107</f>
        <v>50752.95</v>
      </c>
    </row>
    <row r="108" customFormat="false" ht="12.75" hidden="false" customHeight="false" outlineLevel="0" collapsed="false">
      <c r="A108" s="249"/>
      <c r="B108" s="250" t="n">
        <v>100000</v>
      </c>
      <c r="C108" s="251" t="n">
        <v>2</v>
      </c>
      <c r="D108" s="251"/>
      <c r="E108" s="251"/>
      <c r="F108" s="226" t="n">
        <f aca="false">+C108*B108</f>
        <v>200000</v>
      </c>
      <c r="G108" s="226"/>
      <c r="H108" s="249" t="n">
        <v>36404</v>
      </c>
      <c r="I108" s="250" t="n">
        <v>16984</v>
      </c>
      <c r="J108" s="251" t="n">
        <v>2.29</v>
      </c>
      <c r="K108" s="226" t="n">
        <f aca="false">+J108*I108</f>
        <v>38893.36</v>
      </c>
    </row>
    <row r="109" customFormat="false" ht="12.75" hidden="false" customHeight="false" outlineLevel="0" collapsed="false">
      <c r="A109" s="249"/>
      <c r="B109" s="250"/>
      <c r="C109" s="251"/>
      <c r="D109" s="251"/>
      <c r="E109" s="251"/>
      <c r="F109" s="226"/>
      <c r="G109" s="226"/>
      <c r="H109" s="249" t="n">
        <v>36434</v>
      </c>
      <c r="I109" s="250" t="n">
        <v>11019</v>
      </c>
      <c r="J109" s="251" t="n">
        <v>2.59</v>
      </c>
      <c r="K109" s="226" t="n">
        <f aca="false">+J109*I109</f>
        <v>28539.21</v>
      </c>
    </row>
    <row r="110" customFormat="false" ht="12.75" hidden="false" customHeight="false" outlineLevel="0" collapsed="false">
      <c r="A110" s="249"/>
      <c r="B110" s="250"/>
      <c r="C110" s="251"/>
      <c r="D110" s="251"/>
      <c r="E110" s="251"/>
      <c r="F110" s="226"/>
      <c r="G110" s="226"/>
      <c r="H110" s="249" t="n">
        <v>36465</v>
      </c>
      <c r="I110" s="250" t="n">
        <v>14611</v>
      </c>
      <c r="J110" s="251" t="n">
        <v>2.14</v>
      </c>
      <c r="K110" s="226" t="n">
        <f aca="false">+J110*I110</f>
        <v>31267.54</v>
      </c>
    </row>
    <row r="111" customFormat="false" ht="12.75" hidden="false" customHeight="false" outlineLevel="0" collapsed="false">
      <c r="A111" s="249"/>
      <c r="B111" s="258"/>
      <c r="C111" s="255"/>
      <c r="D111" s="255"/>
      <c r="E111" s="255"/>
      <c r="F111" s="256"/>
      <c r="G111" s="226"/>
      <c r="H111" s="112" t="n">
        <v>36495</v>
      </c>
      <c r="I111" s="250" t="n">
        <v>31761</v>
      </c>
      <c r="J111" s="251" t="n">
        <v>2.21</v>
      </c>
      <c r="K111" s="226" t="n">
        <f aca="false">+J111*I111</f>
        <v>70191.81</v>
      </c>
    </row>
    <row r="112" customFormat="false" ht="13.5" hidden="false" customHeight="false" outlineLevel="0" collapsed="false">
      <c r="A112" s="228"/>
      <c r="B112" s="259"/>
      <c r="C112" s="260"/>
      <c r="D112" s="260"/>
      <c r="E112" s="260"/>
      <c r="F112" s="261"/>
      <c r="G112" s="226"/>
      <c r="H112" s="112" t="n">
        <v>36526</v>
      </c>
      <c r="I112" s="250" t="n">
        <v>28865</v>
      </c>
      <c r="J112" s="251" t="n">
        <v>2.23</v>
      </c>
      <c r="K112" s="226" t="n">
        <f aca="false">+J112*I112</f>
        <v>64368.95</v>
      </c>
    </row>
    <row r="113" customFormat="false" ht="13.5" hidden="false" customHeight="false" outlineLevel="0" collapsed="false">
      <c r="H113" s="112" t="n">
        <v>36557</v>
      </c>
      <c r="I113" s="250" t="n">
        <f aca="false">11102+3</f>
        <v>11105</v>
      </c>
      <c r="J113" s="251" t="n">
        <v>2.4</v>
      </c>
      <c r="K113" s="226" t="n">
        <f aca="false">+J113*I113</f>
        <v>26652</v>
      </c>
    </row>
    <row r="114" customFormat="false" ht="12.75" hidden="false" customHeight="false" outlineLevel="0" collapsed="false">
      <c r="H114" s="250"/>
      <c r="I114" s="262" t="n">
        <f aca="false">SUM(I86:I113)</f>
        <v>518833</v>
      </c>
      <c r="K114" s="174" t="n">
        <f aca="false">SUM(K86:K113)</f>
        <v>1056306.48</v>
      </c>
    </row>
    <row r="115" customFormat="false" ht="12.75" hidden="false" customHeight="false" outlineLevel="0" collapsed="false">
      <c r="H115" s="250"/>
    </row>
    <row r="116" customFormat="false" ht="12.75" hidden="false" customHeight="false" outlineLevel="0" collapsed="false">
      <c r="H116" s="250"/>
    </row>
    <row r="117" customFormat="false" ht="12.75" hidden="false" customHeight="false" outlineLevel="0" collapsed="false">
      <c r="H117" s="250"/>
    </row>
    <row r="118" customFormat="false" ht="12.75" hidden="false" customHeight="false" outlineLevel="0" collapsed="false">
      <c r="A118" s="246" t="s">
        <v>81</v>
      </c>
      <c r="F118" s="223"/>
      <c r="G118" s="226"/>
      <c r="H118" s="250"/>
    </row>
    <row r="119" customFormat="false" ht="12.75" hidden="false" customHeight="false" outlineLevel="0" collapsed="false">
      <c r="A119" s="246" t="s">
        <v>148</v>
      </c>
      <c r="F119" s="223"/>
      <c r="G119" s="226"/>
      <c r="H119" s="250"/>
    </row>
    <row r="120" customFormat="false" ht="12.75" hidden="false" customHeight="false" outlineLevel="0" collapsed="false">
      <c r="A120" s="246" t="s">
        <v>149</v>
      </c>
      <c r="F120" s="223"/>
      <c r="G120" s="226"/>
      <c r="H120" s="250"/>
    </row>
    <row r="121" customFormat="false" ht="12.75" hidden="false" customHeight="false" outlineLevel="0" collapsed="false">
      <c r="H121" s="250"/>
    </row>
    <row r="122" customFormat="false" ht="12.75" hidden="false" customHeight="false" outlineLevel="0" collapsed="false">
      <c r="H122" s="250"/>
    </row>
    <row r="123" customFormat="false" ht="12.75" hidden="false" customHeight="false" outlineLevel="0" collapsed="false">
      <c r="H123" s="250"/>
    </row>
    <row r="124" customFormat="false" ht="12.75" hidden="false" customHeight="false" outlineLevel="0" collapsed="false">
      <c r="A124" s="227"/>
      <c r="B124" s="129" t="s">
        <v>150</v>
      </c>
      <c r="C124" s="129" t="s">
        <v>32</v>
      </c>
      <c r="F124" s="227"/>
      <c r="G124" s="226"/>
      <c r="H124" s="250"/>
    </row>
    <row r="125" customFormat="false" ht="12.75" hidden="false" customHeight="false" outlineLevel="0" collapsed="false">
      <c r="A125" s="227"/>
      <c r="B125" s="263" t="s">
        <v>117</v>
      </c>
      <c r="C125" s="263" t="s">
        <v>118</v>
      </c>
      <c r="D125" s="263"/>
      <c r="E125" s="263"/>
      <c r="F125" s="264" t="s">
        <v>119</v>
      </c>
      <c r="G125" s="226"/>
      <c r="H125" s="250"/>
    </row>
    <row r="126" customFormat="false" ht="12.75" hidden="false" customHeight="false" outlineLevel="0" collapsed="false">
      <c r="A126" s="249" t="n">
        <v>36100</v>
      </c>
      <c r="B126" s="250" t="n">
        <v>11369</v>
      </c>
      <c r="C126" s="251" t="n">
        <v>2.02</v>
      </c>
      <c r="D126" s="251"/>
      <c r="E126" s="251"/>
      <c r="F126" s="226" t="n">
        <f aca="false">+C126*B126</f>
        <v>22965.38</v>
      </c>
      <c r="H126" s="250"/>
    </row>
    <row r="127" customFormat="false" ht="12.75" hidden="false" customHeight="false" outlineLevel="0" collapsed="false">
      <c r="A127" s="249" t="n">
        <v>36130</v>
      </c>
      <c r="B127" s="250" t="n">
        <v>88047</v>
      </c>
      <c r="C127" s="251" t="n">
        <v>1.79</v>
      </c>
      <c r="D127" s="251"/>
      <c r="E127" s="251"/>
      <c r="F127" s="226" t="n">
        <f aca="false">+C127*B127</f>
        <v>157604.13</v>
      </c>
      <c r="G127" s="226"/>
      <c r="H127" s="250"/>
    </row>
    <row r="128" customFormat="false" ht="12.75" hidden="false" customHeight="false" outlineLevel="0" collapsed="false">
      <c r="A128" s="249" t="n">
        <v>36161</v>
      </c>
      <c r="B128" s="250" t="n">
        <v>22026</v>
      </c>
      <c r="C128" s="251" t="n">
        <v>1.7</v>
      </c>
      <c r="D128" s="251"/>
      <c r="E128" s="251"/>
      <c r="F128" s="226" t="n">
        <f aca="false">+C128*B128</f>
        <v>37444.2</v>
      </c>
      <c r="G128" s="226"/>
      <c r="H128" s="250"/>
    </row>
    <row r="129" customFormat="false" ht="12.75" hidden="false" customHeight="false" outlineLevel="0" collapsed="false">
      <c r="A129" s="249" t="n">
        <v>36192</v>
      </c>
      <c r="B129" s="250" t="n">
        <v>12888</v>
      </c>
      <c r="C129" s="251" t="n">
        <v>1.61</v>
      </c>
      <c r="D129" s="251"/>
      <c r="E129" s="251"/>
      <c r="F129" s="226" t="n">
        <f aca="false">+C129*B129</f>
        <v>20749.68</v>
      </c>
      <c r="G129" s="226"/>
      <c r="H129" s="250"/>
    </row>
    <row r="130" customFormat="false" ht="12.75" hidden="false" customHeight="false" outlineLevel="0" collapsed="false">
      <c r="A130" s="249" t="n">
        <v>36220</v>
      </c>
      <c r="B130" s="250" t="n">
        <v>29</v>
      </c>
      <c r="C130" s="251" t="n">
        <v>1.56</v>
      </c>
      <c r="D130" s="251"/>
      <c r="E130" s="251"/>
      <c r="F130" s="226" t="n">
        <f aca="false">+C130*B130</f>
        <v>45.24</v>
      </c>
      <c r="G130" s="226"/>
      <c r="H130" s="250"/>
    </row>
    <row r="131" customFormat="false" ht="12.75" hidden="false" customHeight="false" outlineLevel="0" collapsed="false">
      <c r="A131" s="249" t="n">
        <v>36251</v>
      </c>
      <c r="B131" s="250" t="n">
        <v>31188</v>
      </c>
      <c r="C131" s="251" t="n">
        <v>1.9</v>
      </c>
      <c r="D131" s="251"/>
      <c r="E131" s="251"/>
      <c r="F131" s="226" t="n">
        <f aca="false">+C131*B131</f>
        <v>59257.2</v>
      </c>
      <c r="G131" s="226"/>
      <c r="H131" s="250"/>
    </row>
    <row r="132" customFormat="false" ht="12.75" hidden="false" customHeight="false" outlineLevel="0" collapsed="false">
      <c r="A132" s="249" t="n">
        <v>36281</v>
      </c>
      <c r="B132" s="258" t="n">
        <f aca="false">3252482-3155382</f>
        <v>97100</v>
      </c>
      <c r="C132" s="255" t="n">
        <v>2.02</v>
      </c>
      <c r="D132" s="255"/>
      <c r="E132" s="255"/>
      <c r="F132" s="256" t="n">
        <f aca="false">+C132*B132</f>
        <v>196142</v>
      </c>
      <c r="G132" s="226"/>
      <c r="H132" s="250"/>
    </row>
    <row r="133" customFormat="false" ht="13.5" hidden="false" customHeight="false" outlineLevel="0" collapsed="false">
      <c r="A133" s="228"/>
      <c r="B133" s="259" t="n">
        <f aca="false">SUM(B126:B132)</f>
        <v>262647</v>
      </c>
      <c r="C133" s="260" t="n">
        <f aca="false">+F133/B133</f>
        <v>1.88164277528394</v>
      </c>
      <c r="D133" s="260"/>
      <c r="E133" s="260"/>
      <c r="F133" s="261" t="n">
        <f aca="false">SUM(F126:F132)</f>
        <v>494207.83</v>
      </c>
      <c r="G133" s="226"/>
    </row>
    <row r="134" customFormat="false" ht="13.5" hidden="false" customHeight="false" outlineLevel="0" collapsed="false">
      <c r="A134" s="227"/>
      <c r="F134" s="223"/>
      <c r="G134" s="226"/>
    </row>
    <row r="135" customFormat="false" ht="12.75" hidden="false" customHeight="false" outlineLevel="0" collapsed="false">
      <c r="A135" s="227"/>
      <c r="B135" s="128" t="n">
        <v>110000</v>
      </c>
      <c r="F135" s="223"/>
      <c r="G135" s="226"/>
    </row>
    <row r="136" customFormat="false" ht="12.75" hidden="false" customHeight="false" outlineLevel="0" collapsed="false">
      <c r="A136" s="227"/>
      <c r="B136" s="128" t="n">
        <f aca="false">+B133-B135</f>
        <v>152647</v>
      </c>
      <c r="F136" s="265"/>
      <c r="G136" s="226"/>
      <c r="I136" s="266"/>
    </row>
    <row r="137" customFormat="false" ht="12.75" hidden="false" customHeight="false" outlineLevel="0" collapsed="false">
      <c r="A137" s="227"/>
      <c r="F137" s="265"/>
      <c r="G137" s="226"/>
    </row>
    <row r="138" customFormat="false" ht="12.75" hidden="false" customHeight="false" outlineLevel="0" collapsed="false">
      <c r="A138" s="267" t="n">
        <v>35309</v>
      </c>
      <c r="B138" s="128" t="n">
        <v>49118</v>
      </c>
      <c r="C138" s="129" t="n">
        <v>77606.44</v>
      </c>
      <c r="F138" s="268" t="n">
        <f aca="false">+C138/B138</f>
        <v>1.58</v>
      </c>
      <c r="G138" s="226"/>
    </row>
    <row r="139" customFormat="false" ht="12.75" hidden="false" customHeight="false" outlineLevel="0" collapsed="false">
      <c r="A139" s="267" t="n">
        <v>35339</v>
      </c>
      <c r="B139" s="128" t="n">
        <v>214553</v>
      </c>
      <c r="C139" s="129" t="n">
        <v>454852.36</v>
      </c>
      <c r="F139" s="268" t="n">
        <f aca="false">+C139/B139</f>
        <v>2.12</v>
      </c>
      <c r="G139" s="226"/>
    </row>
    <row r="140" customFormat="false" ht="12.75" hidden="false" customHeight="false" outlineLevel="0" collapsed="false">
      <c r="A140" s="173" t="n">
        <v>35370</v>
      </c>
      <c r="B140" s="128" t="n">
        <v>43514</v>
      </c>
      <c r="C140" s="129" t="n">
        <v>119663.5</v>
      </c>
      <c r="F140" s="268" t="n">
        <f aca="false">+C140/B140</f>
        <v>2.75</v>
      </c>
    </row>
    <row r="141" customFormat="false" ht="12.75" hidden="false" customHeight="false" outlineLevel="0" collapsed="false">
      <c r="A141" s="173" t="n">
        <v>35400</v>
      </c>
      <c r="B141" s="128" t="n">
        <v>-216419</v>
      </c>
      <c r="C141" s="129" t="n">
        <v>-555955.78</v>
      </c>
      <c r="F141" s="268" t="n">
        <f aca="false">+C141/B141</f>
        <v>2.56888618836609</v>
      </c>
    </row>
    <row r="142" customFormat="false" ht="12.75" hidden="false" customHeight="false" outlineLevel="0" collapsed="false">
      <c r="A142" s="173" t="n">
        <v>35400</v>
      </c>
      <c r="B142" s="128" t="n">
        <v>28947</v>
      </c>
      <c r="C142" s="129" t="n">
        <v>45736.26</v>
      </c>
      <c r="F142" s="268" t="n">
        <f aca="false">+C142/B142</f>
        <v>1.58</v>
      </c>
    </row>
    <row r="143" customFormat="false" ht="12.75" hidden="false" customHeight="false" outlineLevel="0" collapsed="false">
      <c r="A143" s="173" t="n">
        <v>35431</v>
      </c>
      <c r="B143" s="128" t="n">
        <v>1433</v>
      </c>
      <c r="C143" s="129" t="n">
        <v>4585.6</v>
      </c>
      <c r="F143" s="268" t="n">
        <f aca="false">+C143/B143</f>
        <v>3.2</v>
      </c>
    </row>
    <row r="144" customFormat="false" ht="12.75" hidden="false" customHeight="false" outlineLevel="0" collapsed="false">
      <c r="A144" s="173" t="n">
        <v>35462</v>
      </c>
      <c r="B144" s="128" t="n">
        <v>-39680</v>
      </c>
      <c r="C144" s="129" t="n">
        <v>-80550.4</v>
      </c>
      <c r="F144" s="268" t="n">
        <f aca="false">+C144/B144</f>
        <v>2.03</v>
      </c>
    </row>
    <row r="145" customFormat="false" ht="12.75" hidden="false" customHeight="false" outlineLevel="0" collapsed="false">
      <c r="A145" s="173" t="n">
        <v>35490</v>
      </c>
      <c r="B145" s="128" t="n">
        <v>11061</v>
      </c>
      <c r="C145" s="129" t="n">
        <v>18914.31</v>
      </c>
      <c r="F145" s="268" t="n">
        <f aca="false">+C145/B145</f>
        <v>1.71</v>
      </c>
    </row>
    <row r="146" customFormat="false" ht="12.75" hidden="false" customHeight="false" outlineLevel="0" collapsed="false">
      <c r="A146" s="173" t="n">
        <v>35521</v>
      </c>
      <c r="B146" s="128" t="n">
        <v>5079</v>
      </c>
      <c r="C146" s="129" t="n">
        <v>9294.57</v>
      </c>
      <c r="F146" s="268" t="n">
        <f aca="false">+C146/B146</f>
        <v>1.83</v>
      </c>
    </row>
    <row r="147" customFormat="false" ht="12.75" hidden="false" customHeight="false" outlineLevel="0" collapsed="false">
      <c r="A147" s="173" t="n">
        <v>35551</v>
      </c>
      <c r="B147" s="128" t="n">
        <v>-27163</v>
      </c>
      <c r="C147" s="129" t="n">
        <v>-53239.48</v>
      </c>
      <c r="F147" s="268" t="n">
        <f aca="false">+C147/B147</f>
        <v>1.96</v>
      </c>
    </row>
    <row r="148" customFormat="false" ht="12.75" hidden="false" customHeight="false" outlineLevel="0" collapsed="false">
      <c r="A148" s="173" t="n">
        <v>35582</v>
      </c>
      <c r="B148" s="128" t="n">
        <v>696</v>
      </c>
      <c r="C148" s="129" t="n">
        <v>1392</v>
      </c>
      <c r="F148" s="268" t="n">
        <f aca="false">+C148/B148</f>
        <v>2</v>
      </c>
    </row>
    <row r="149" customFormat="false" ht="12.75" hidden="false" customHeight="false" outlineLevel="0" collapsed="false">
      <c r="A149" s="173" t="n">
        <v>35612</v>
      </c>
      <c r="B149" s="128" t="n">
        <v>54951</v>
      </c>
      <c r="C149" s="129" t="n">
        <v>111550.53</v>
      </c>
      <c r="F149" s="268" t="n">
        <f aca="false">+C149/B149</f>
        <v>2.03</v>
      </c>
    </row>
    <row r="150" customFormat="false" ht="12.75" hidden="false" customHeight="false" outlineLevel="0" collapsed="false">
      <c r="A150" s="173" t="n">
        <v>35643</v>
      </c>
      <c r="B150" s="128" t="n">
        <v>80810</v>
      </c>
      <c r="C150" s="129" t="n">
        <v>180206.3</v>
      </c>
      <c r="F150" s="268" t="n">
        <f aca="false">+C150/B150</f>
        <v>2.23</v>
      </c>
    </row>
    <row r="151" customFormat="false" ht="12.75" hidden="false" customHeight="false" outlineLevel="0" collapsed="false">
      <c r="A151" s="173" t="n">
        <v>35674</v>
      </c>
      <c r="B151" s="128" t="n">
        <v>79912</v>
      </c>
      <c r="C151" s="129" t="n">
        <v>215762.4</v>
      </c>
      <c r="F151" s="268" t="n">
        <f aca="false">+C151/B151</f>
        <v>2.7</v>
      </c>
    </row>
    <row r="152" customFormat="false" ht="12.75" hidden="false" customHeight="false" outlineLevel="0" collapsed="false">
      <c r="A152" s="173" t="n">
        <v>35704</v>
      </c>
      <c r="B152" s="128" t="n">
        <v>-197519</v>
      </c>
      <c r="C152" s="129" t="n">
        <v>-557003.58</v>
      </c>
      <c r="F152" s="268" t="n">
        <f aca="false">+C152/B152</f>
        <v>2.82</v>
      </c>
    </row>
    <row r="153" customFormat="false" ht="12.75" hidden="false" customHeight="false" outlineLevel="0" collapsed="false">
      <c r="A153" s="173" t="n">
        <v>35735</v>
      </c>
      <c r="B153" s="128" t="n">
        <v>-60757</v>
      </c>
      <c r="C153" s="129" t="n">
        <v>-163436.33</v>
      </c>
      <c r="F153" s="268" t="n">
        <f aca="false">+C153/B153</f>
        <v>2.69</v>
      </c>
    </row>
    <row r="154" customFormat="false" ht="12.75" hidden="false" customHeight="false" outlineLevel="0" collapsed="false">
      <c r="A154" s="173" t="n">
        <v>35765</v>
      </c>
      <c r="B154" s="128" t="n">
        <v>91837</v>
      </c>
      <c r="C154" s="129" t="n">
        <v>198367.92</v>
      </c>
      <c r="F154" s="268" t="n">
        <f aca="false">+C154/B154</f>
        <v>2.16</v>
      </c>
    </row>
    <row r="155" customFormat="false" ht="12.75" hidden="false" customHeight="false" outlineLevel="0" collapsed="false">
      <c r="A155" s="173" t="n">
        <v>35796</v>
      </c>
      <c r="B155" s="128" t="n">
        <v>12478</v>
      </c>
      <c r="C155" s="129" t="n">
        <v>24831.22</v>
      </c>
      <c r="F155" s="268" t="n">
        <f aca="false">+C155/B155</f>
        <v>1.99</v>
      </c>
    </row>
    <row r="156" customFormat="false" ht="12.75" hidden="false" customHeight="false" outlineLevel="0" collapsed="false">
      <c r="A156" s="173" t="n">
        <v>35827</v>
      </c>
      <c r="B156" s="128" t="n">
        <v>41686</v>
      </c>
      <c r="C156" s="129" t="n">
        <v>85456.3</v>
      </c>
      <c r="F156" s="268" t="n">
        <f aca="false">+C156/B156</f>
        <v>2.05</v>
      </c>
    </row>
    <row r="157" customFormat="false" ht="12.75" hidden="false" customHeight="false" outlineLevel="0" collapsed="false">
      <c r="A157" s="173" t="n">
        <v>35855</v>
      </c>
      <c r="B157" s="128" t="n">
        <v>10912</v>
      </c>
      <c r="C157" s="129" t="n">
        <v>23242.56</v>
      </c>
      <c r="F157" s="268" t="n">
        <f aca="false">+C157/B157</f>
        <v>2.13</v>
      </c>
    </row>
    <row r="158" customFormat="false" ht="12.75" hidden="false" customHeight="false" outlineLevel="0" collapsed="false">
      <c r="A158" s="173" t="n">
        <v>35886</v>
      </c>
      <c r="B158" s="128" t="n">
        <v>-14809</v>
      </c>
      <c r="C158" s="129" t="n">
        <v>-33468.34</v>
      </c>
      <c r="F158" s="268" t="n">
        <f aca="false">+C158/B158</f>
        <v>2.26</v>
      </c>
    </row>
    <row r="159" customFormat="false" ht="12.75" hidden="false" customHeight="false" outlineLevel="0" collapsed="false">
      <c r="A159" s="173" t="n">
        <v>35916</v>
      </c>
      <c r="B159" s="128" t="n">
        <v>-68266</v>
      </c>
      <c r="C159" s="129" t="n">
        <v>-131753.38</v>
      </c>
      <c r="F159" s="268" t="n">
        <f aca="false">+C159/B159</f>
        <v>1.93</v>
      </c>
    </row>
    <row r="160" customFormat="false" ht="12.75" hidden="false" customHeight="false" outlineLevel="0" collapsed="false">
      <c r="A160" s="173" t="n">
        <v>35947</v>
      </c>
      <c r="B160" s="128" t="n">
        <v>-120267</v>
      </c>
      <c r="C160" s="129" t="n">
        <v>-221291.28</v>
      </c>
      <c r="F160" s="268" t="n">
        <f aca="false">+C160/B160</f>
        <v>1.84</v>
      </c>
    </row>
    <row r="161" customFormat="false" ht="12.75" hidden="false" customHeight="false" outlineLevel="0" collapsed="false">
      <c r="A161" s="173" t="n">
        <v>35977</v>
      </c>
      <c r="B161" s="128" t="n">
        <v>67572</v>
      </c>
      <c r="C161" s="129" t="n">
        <v>136495.44</v>
      </c>
      <c r="F161" s="268" t="n">
        <f aca="false">+C161/B161</f>
        <v>2.02</v>
      </c>
      <c r="G161" s="269"/>
    </row>
    <row r="162" customFormat="false" ht="12.75" hidden="false" customHeight="false" outlineLevel="0" collapsed="false">
      <c r="A162" s="173" t="n">
        <v>36008</v>
      </c>
      <c r="B162" s="128" t="n">
        <v>76339</v>
      </c>
      <c r="C162" s="129" t="n">
        <v>133593.25</v>
      </c>
      <c r="F162" s="268" t="n">
        <f aca="false">+C162/B162</f>
        <v>1.75</v>
      </c>
    </row>
    <row r="163" customFormat="false" ht="12.75" hidden="false" customHeight="false" outlineLevel="0" collapsed="false">
      <c r="A163" s="173" t="n">
        <v>36039</v>
      </c>
      <c r="B163" s="128" t="n">
        <v>4528</v>
      </c>
      <c r="C163" s="129" t="n">
        <v>7969.28</v>
      </c>
      <c r="F163" s="268" t="n">
        <f aca="false">+C163/B163</f>
        <v>1.76</v>
      </c>
    </row>
    <row r="164" customFormat="false" ht="12.75" hidden="false" customHeight="false" outlineLevel="0" collapsed="false">
      <c r="A164" s="173" t="n">
        <v>36069</v>
      </c>
      <c r="B164" s="128" t="n">
        <v>26871</v>
      </c>
      <c r="C164" s="129" t="n">
        <v>47561.67</v>
      </c>
      <c r="F164" s="268" t="n">
        <f aca="false">+C164/B164</f>
        <v>1.77</v>
      </c>
    </row>
    <row r="165" customFormat="false" ht="12.75" hidden="false" customHeight="false" outlineLevel="0" collapsed="false">
      <c r="A165" s="173" t="n">
        <v>36100</v>
      </c>
      <c r="B165" s="270" t="n">
        <v>153952</v>
      </c>
      <c r="C165" s="263" t="n">
        <v>288096.78</v>
      </c>
      <c r="F165" s="266" t="n">
        <f aca="false">+C165/B165</f>
        <v>1.87134158698815</v>
      </c>
    </row>
    <row r="166" customFormat="false" ht="12.75" hidden="false" customHeight="false" outlineLevel="0" collapsed="false">
      <c r="B166" s="128" t="n">
        <f aca="false">SUM(B138:B165)</f>
        <v>311369</v>
      </c>
      <c r="C166" s="129" t="n">
        <f aca="false">SUM(C138:C165)</f>
        <v>388480.12</v>
      </c>
      <c r="F166" s="5" t="s">
        <v>156</v>
      </c>
    </row>
    <row r="167" customFormat="false" ht="12.75" hidden="false" customHeight="false" outlineLevel="0" collapsed="false">
      <c r="B167" s="270" t="n">
        <v>-300000</v>
      </c>
      <c r="C167" s="263" t="n">
        <v>-450000</v>
      </c>
      <c r="F167" s="5" t="s">
        <v>157</v>
      </c>
    </row>
    <row r="168" customFormat="false" ht="12.75" hidden="false" customHeight="false" outlineLevel="0" collapsed="false">
      <c r="B168" s="128" t="n">
        <f aca="false">+B167+B166</f>
        <v>11369</v>
      </c>
      <c r="C168" s="129" t="n">
        <f aca="false">+C167+C166</f>
        <v>-61519.88</v>
      </c>
      <c r="F168" s="5" t="s">
        <v>158</v>
      </c>
    </row>
    <row r="169" customFormat="false" ht="12.75" hidden="false" customHeight="false" outlineLevel="0" collapsed="false">
      <c r="A169" s="173" t="n">
        <v>36130</v>
      </c>
      <c r="B169" s="128" t="n">
        <v>88047</v>
      </c>
      <c r="C169" s="129" t="n">
        <v>153201.78</v>
      </c>
      <c r="F169" s="266" t="n">
        <f aca="false">+C169/B169</f>
        <v>1.74</v>
      </c>
    </row>
    <row r="170" customFormat="false" ht="12.75" hidden="false" customHeight="false" outlineLevel="0" collapsed="false">
      <c r="A170" s="173" t="n">
        <v>36161</v>
      </c>
      <c r="B170" s="128" t="n">
        <v>22026</v>
      </c>
      <c r="C170" s="129" t="n">
        <v>38104.98</v>
      </c>
      <c r="F170" s="266" t="n">
        <f aca="false">+C170/B170</f>
        <v>1.73</v>
      </c>
    </row>
    <row r="171" customFormat="false" ht="12.75" hidden="false" customHeight="false" outlineLevel="0" collapsed="false">
      <c r="A171" s="173" t="n">
        <v>36192</v>
      </c>
      <c r="B171" s="128" t="n">
        <v>12888</v>
      </c>
      <c r="C171" s="129" t="n">
        <v>21007.44</v>
      </c>
      <c r="F171" s="266" t="n">
        <f aca="false">+C171/B171</f>
        <v>1.63</v>
      </c>
    </row>
    <row r="172" customFormat="false" ht="12.75" hidden="false" customHeight="false" outlineLevel="0" collapsed="false">
      <c r="A172" s="173" t="n">
        <v>36220</v>
      </c>
      <c r="B172" s="128" t="n">
        <v>29</v>
      </c>
      <c r="C172" s="129" t="n">
        <v>46.11</v>
      </c>
      <c r="F172" s="174" t="n">
        <f aca="false">+C172/B172</f>
        <v>1.59</v>
      </c>
    </row>
    <row r="173" customFormat="false" ht="12.75" hidden="false" customHeight="false" outlineLevel="0" collapsed="false">
      <c r="A173" s="173" t="n">
        <v>36251</v>
      </c>
      <c r="B173" s="270" t="n">
        <v>31188</v>
      </c>
      <c r="C173" s="263" t="n">
        <v>60504.72</v>
      </c>
      <c r="F173" s="266" t="n">
        <f aca="false">+C173/B173</f>
        <v>1.94</v>
      </c>
    </row>
    <row r="174" customFormat="false" ht="12.75" hidden="false" customHeight="false" outlineLevel="0" collapsed="false">
      <c r="B174" s="128" t="n">
        <f aca="false">SUM(B168:B173)</f>
        <v>165547</v>
      </c>
      <c r="C174" s="129" t="n">
        <f aca="false">SUM(C168:C173)</f>
        <v>211345.15</v>
      </c>
    </row>
    <row r="175" customFormat="false" ht="12.75" hidden="false" customHeight="false" outlineLevel="0" collapsed="false">
      <c r="A175" s="127" t="s">
        <v>159</v>
      </c>
      <c r="B175" s="270" t="n">
        <v>98603</v>
      </c>
      <c r="C175" s="263" t="n">
        <f aca="false">+B175*2.02</f>
        <v>199178.06</v>
      </c>
      <c r="F175" s="271" t="n">
        <v>2.02</v>
      </c>
    </row>
    <row r="176" customFormat="false" ht="12.75" hidden="false" customHeight="false" outlineLevel="0" collapsed="false">
      <c r="B176" s="128" t="n">
        <f aca="false">+B175+B174</f>
        <v>264150</v>
      </c>
      <c r="C176" s="129" t="n">
        <f aca="false">+C175+C174</f>
        <v>410523.21</v>
      </c>
      <c r="F176" s="266" t="n">
        <f aca="false">+C176/B176</f>
        <v>1.55412913117547</v>
      </c>
    </row>
    <row r="178" customFormat="false" ht="12.75" hidden="false" customHeight="false" outlineLevel="0" collapsed="false">
      <c r="A178" s="127" t="s">
        <v>160</v>
      </c>
      <c r="B178" s="128" t="n">
        <f aca="false">SUM(B161:B165)</f>
        <v>329262</v>
      </c>
      <c r="C178" s="129" t="n">
        <f aca="false">SUM(C161:C165)</f>
        <v>613716.42</v>
      </c>
    </row>
    <row r="180" customFormat="false" ht="12.75" hidden="false" customHeight="false" outlineLevel="0" collapsed="false">
      <c r="A180" s="127" t="s">
        <v>161</v>
      </c>
      <c r="B180" s="128" t="n">
        <f aca="false">+B169+B170+B171+B172+B173+B175</f>
        <v>252781</v>
      </c>
      <c r="C180" s="129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3" activeCellId="3" sqref="C34 C13 B41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5" width="11.28"/>
    <col collapsed="false" customWidth="true" hidden="false" outlineLevel="0" max="3" min="3" style="155" width="10.99"/>
    <col collapsed="false" customWidth="true" hidden="false" outlineLevel="0" max="4" min="4" style="15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72" t="s">
        <v>162</v>
      </c>
      <c r="C2" s="273"/>
      <c r="F2" s="272"/>
      <c r="G2" s="155"/>
      <c r="H2" s="274"/>
      <c r="I2" s="155"/>
      <c r="J2" s="272"/>
      <c r="K2" s="155"/>
      <c r="L2" s="274"/>
      <c r="M2" s="155"/>
      <c r="N2" s="272"/>
      <c r="O2" s="155"/>
      <c r="P2" s="274"/>
      <c r="Q2" s="155"/>
      <c r="R2" s="272"/>
      <c r="S2" s="155"/>
      <c r="T2" s="273"/>
      <c r="U2" s="155"/>
      <c r="Z2" s="272"/>
      <c r="AA2" s="155"/>
      <c r="AB2" s="273"/>
      <c r="AC2" s="155"/>
    </row>
    <row r="3" customFormat="false" ht="12.75" hidden="false" customHeight="false" outlineLevel="0" collapsed="false">
      <c r="A3" s="127"/>
      <c r="D3" s="250"/>
      <c r="F3" s="127"/>
      <c r="G3" s="155"/>
      <c r="H3" s="155"/>
      <c r="I3" s="250"/>
      <c r="J3" s="127"/>
      <c r="K3" s="155"/>
      <c r="L3" s="155"/>
      <c r="M3" s="250"/>
      <c r="N3" s="127"/>
      <c r="O3" s="155"/>
      <c r="P3" s="155"/>
      <c r="Q3" s="250"/>
      <c r="R3" s="127"/>
      <c r="S3" s="155"/>
      <c r="T3" s="155"/>
      <c r="U3" s="250"/>
      <c r="Z3" s="127"/>
      <c r="AA3" s="155"/>
      <c r="AB3" s="155"/>
      <c r="AC3" s="250"/>
    </row>
    <row r="4" customFormat="false" ht="12.75" hidden="false" customHeight="false" outlineLevel="0" collapsed="false">
      <c r="A4" s="127"/>
      <c r="B4" s="192" t="s">
        <v>114</v>
      </c>
      <c r="C4" s="192" t="s">
        <v>115</v>
      </c>
      <c r="D4" s="274" t="s">
        <v>133</v>
      </c>
      <c r="F4" s="127"/>
      <c r="G4" s="192"/>
      <c r="H4" s="192"/>
      <c r="I4" s="274"/>
      <c r="J4" s="127"/>
      <c r="K4" s="192"/>
      <c r="L4" s="192"/>
      <c r="M4" s="274"/>
      <c r="N4" s="127"/>
      <c r="O4" s="192"/>
      <c r="P4" s="192"/>
      <c r="Q4" s="274"/>
      <c r="R4" s="127"/>
      <c r="S4" s="192"/>
      <c r="T4" s="192"/>
      <c r="U4" s="274"/>
      <c r="Z4" s="127"/>
      <c r="AA4" s="192"/>
      <c r="AB4" s="192"/>
      <c r="AC4" s="274"/>
    </row>
    <row r="5" customFormat="false" ht="14.1" hidden="false" customHeight="true" outlineLevel="0" collapsed="false">
      <c r="A5" s="18" t="n">
        <v>1</v>
      </c>
      <c r="B5" s="108" t="n">
        <v>-55850</v>
      </c>
      <c r="C5" s="108" t="n">
        <v>-55438</v>
      </c>
      <c r="D5" s="108" t="n">
        <f aca="false">+C5-B5</f>
        <v>412</v>
      </c>
      <c r="F5" s="18"/>
      <c r="G5" s="108"/>
      <c r="H5" s="108"/>
      <c r="I5" s="108"/>
      <c r="J5" s="18"/>
      <c r="K5" s="108"/>
      <c r="L5" s="108"/>
      <c r="M5" s="108"/>
      <c r="N5" s="18"/>
      <c r="O5" s="108"/>
      <c r="P5" s="108"/>
      <c r="Q5" s="108"/>
      <c r="R5" s="18"/>
      <c r="S5" s="108"/>
      <c r="T5" s="108"/>
      <c r="U5" s="108"/>
      <c r="Z5" s="18"/>
      <c r="AA5" s="108"/>
      <c r="AB5" s="108"/>
      <c r="AC5" s="108"/>
    </row>
    <row r="6" customFormat="false" ht="14.1" hidden="false" customHeight="true" outlineLevel="0" collapsed="false">
      <c r="A6" s="18" t="n">
        <v>2</v>
      </c>
      <c r="B6" s="108" t="n">
        <v>-43999</v>
      </c>
      <c r="C6" s="108" t="n">
        <v>-43938</v>
      </c>
      <c r="D6" s="108" t="n">
        <f aca="false">+C6-B6</f>
        <v>61</v>
      </c>
      <c r="F6" s="18"/>
      <c r="G6" s="108"/>
      <c r="H6" s="108"/>
      <c r="I6" s="108"/>
      <c r="J6" s="18"/>
      <c r="K6" s="108"/>
      <c r="L6" s="108"/>
      <c r="M6" s="108"/>
      <c r="N6" s="18"/>
      <c r="O6" s="108"/>
      <c r="P6" s="108"/>
      <c r="Q6" s="108"/>
      <c r="R6" s="18"/>
      <c r="S6" s="108"/>
      <c r="T6" s="108"/>
      <c r="U6" s="108"/>
      <c r="Z6" s="18"/>
      <c r="AA6" s="108"/>
      <c r="AB6" s="108"/>
      <c r="AC6" s="108"/>
    </row>
    <row r="7" customFormat="false" ht="14.1" hidden="false" customHeight="true" outlineLevel="0" collapsed="false">
      <c r="A7" s="18" t="n">
        <v>3</v>
      </c>
      <c r="B7" s="108" t="n">
        <v>-29392</v>
      </c>
      <c r="C7" s="108" t="n">
        <v>-29570</v>
      </c>
      <c r="D7" s="108" t="n">
        <f aca="false">+C7-B7</f>
        <v>-178</v>
      </c>
      <c r="F7" s="18"/>
      <c r="G7" s="108"/>
      <c r="H7" s="108"/>
      <c r="I7" s="108"/>
      <c r="J7" s="18"/>
      <c r="K7" s="108"/>
      <c r="L7" s="108"/>
      <c r="M7" s="108"/>
      <c r="N7" s="18"/>
      <c r="O7" s="108"/>
      <c r="P7" s="108"/>
      <c r="Q7" s="108"/>
      <c r="R7" s="18"/>
      <c r="S7" s="108"/>
      <c r="T7" s="108"/>
      <c r="U7" s="108"/>
      <c r="Z7" s="18"/>
      <c r="AA7" s="108"/>
      <c r="AB7" s="108"/>
      <c r="AC7" s="108"/>
    </row>
    <row r="8" customFormat="false" ht="14.1" hidden="false" customHeight="true" outlineLevel="0" collapsed="false">
      <c r="A8" s="18" t="n">
        <v>4</v>
      </c>
      <c r="B8" s="108" t="n">
        <v>-59280</v>
      </c>
      <c r="C8" s="108" t="n">
        <v>-59683</v>
      </c>
      <c r="D8" s="108" t="n">
        <f aca="false">+C8-B8</f>
        <v>-403</v>
      </c>
      <c r="F8" s="18"/>
      <c r="G8" s="108"/>
      <c r="H8" s="108"/>
      <c r="I8" s="108"/>
      <c r="J8" s="18"/>
      <c r="K8" s="108"/>
      <c r="L8" s="108"/>
      <c r="M8" s="108"/>
      <c r="N8" s="18"/>
      <c r="O8" s="108"/>
      <c r="P8" s="108"/>
      <c r="Q8" s="108"/>
      <c r="R8" s="18"/>
      <c r="S8" s="108"/>
      <c r="T8" s="108"/>
      <c r="U8" s="108"/>
      <c r="Z8" s="18"/>
      <c r="AA8" s="108"/>
      <c r="AB8" s="108"/>
      <c r="AC8" s="108"/>
    </row>
    <row r="9" customFormat="false" ht="14.1" hidden="false" customHeight="true" outlineLevel="0" collapsed="false">
      <c r="A9" s="18" t="n">
        <v>5</v>
      </c>
      <c r="B9" s="108" t="n">
        <v>-59827</v>
      </c>
      <c r="C9" s="108" t="n">
        <v>-59683</v>
      </c>
      <c r="D9" s="108" t="n">
        <f aca="false">+C9-B9</f>
        <v>144</v>
      </c>
      <c r="F9" s="18"/>
      <c r="G9" s="108"/>
      <c r="H9" s="108"/>
      <c r="I9" s="108"/>
      <c r="J9" s="18"/>
      <c r="K9" s="108"/>
      <c r="L9" s="108"/>
      <c r="M9" s="108"/>
      <c r="N9" s="18"/>
      <c r="O9" s="108"/>
      <c r="P9" s="108"/>
      <c r="Q9" s="108"/>
      <c r="R9" s="18"/>
      <c r="S9" s="108"/>
      <c r="T9" s="108"/>
      <c r="U9" s="108"/>
      <c r="Z9" s="18"/>
      <c r="AA9" s="108"/>
      <c r="AB9" s="108"/>
      <c r="AC9" s="108"/>
    </row>
    <row r="10" customFormat="false" ht="14.1" hidden="false" customHeight="true" outlineLevel="0" collapsed="false">
      <c r="A10" s="18" t="n">
        <v>6</v>
      </c>
      <c r="B10" s="108" t="n">
        <v>-58120</v>
      </c>
      <c r="C10" s="108" t="n">
        <v>-57497</v>
      </c>
      <c r="D10" s="108" t="n">
        <f aca="false">+C10-B10</f>
        <v>623</v>
      </c>
      <c r="F10" s="18"/>
      <c r="G10" s="108"/>
      <c r="H10" s="108"/>
      <c r="I10" s="108"/>
      <c r="J10" s="18"/>
      <c r="K10" s="108"/>
      <c r="L10" s="108"/>
      <c r="M10" s="108"/>
      <c r="N10" s="18"/>
      <c r="O10" s="108"/>
      <c r="P10" s="108"/>
      <c r="Q10" s="108"/>
      <c r="R10" s="18"/>
      <c r="S10" s="108"/>
      <c r="T10" s="108"/>
      <c r="U10" s="108"/>
      <c r="Z10" s="18"/>
      <c r="AA10" s="108"/>
      <c r="AB10" s="108"/>
      <c r="AC10" s="108"/>
    </row>
    <row r="11" customFormat="false" ht="14.1" hidden="false" customHeight="true" outlineLevel="0" collapsed="false">
      <c r="A11" s="18" t="n">
        <v>7</v>
      </c>
      <c r="B11" s="108" t="n">
        <v>-52462</v>
      </c>
      <c r="C11" s="108" t="n">
        <v>-52789</v>
      </c>
      <c r="D11" s="108" t="n">
        <f aca="false">+C11-B11</f>
        <v>-327</v>
      </c>
      <c r="F11" s="18"/>
      <c r="G11" s="108"/>
      <c r="H11" s="108"/>
      <c r="I11" s="108"/>
      <c r="J11" s="18"/>
      <c r="K11" s="108"/>
      <c r="L11" s="108"/>
      <c r="M11" s="108"/>
      <c r="N11" s="18"/>
      <c r="O11" s="108"/>
      <c r="P11" s="108"/>
      <c r="Q11" s="108"/>
      <c r="R11" s="18"/>
      <c r="S11" s="108"/>
      <c r="T11" s="108"/>
      <c r="U11" s="108"/>
      <c r="Z11" s="18"/>
      <c r="AA11" s="108"/>
      <c r="AB11" s="108"/>
      <c r="AC11" s="108"/>
    </row>
    <row r="12" customFormat="false" ht="14.1" hidden="false" customHeight="true" outlineLevel="0" collapsed="false">
      <c r="A12" s="18" t="n">
        <v>8</v>
      </c>
      <c r="B12" s="108" t="n">
        <v>-94542</v>
      </c>
      <c r="C12" s="108" t="n">
        <v>-93200</v>
      </c>
      <c r="D12" s="108" t="n">
        <f aca="false">+C12-B12</f>
        <v>1342</v>
      </c>
      <c r="F12" s="18"/>
      <c r="G12" s="108"/>
      <c r="H12" s="108"/>
      <c r="I12" s="108"/>
      <c r="J12" s="18"/>
      <c r="K12" s="108"/>
      <c r="L12" s="108"/>
      <c r="M12" s="108"/>
      <c r="N12" s="18"/>
      <c r="O12" s="108"/>
      <c r="P12" s="108"/>
      <c r="Q12" s="108"/>
      <c r="R12" s="18"/>
      <c r="S12" s="108"/>
      <c r="T12" s="108"/>
      <c r="U12" s="108"/>
      <c r="Z12" s="18"/>
      <c r="AA12" s="108"/>
      <c r="AB12" s="108"/>
      <c r="AC12" s="108"/>
    </row>
    <row r="13" customFormat="false" ht="14.1" hidden="false" customHeight="true" outlineLevel="0" collapsed="false">
      <c r="A13" s="18" t="n">
        <v>9</v>
      </c>
      <c r="B13" s="108" t="n">
        <v>-59632</v>
      </c>
      <c r="C13" s="108" t="n">
        <v>-58938</v>
      </c>
      <c r="D13" s="108" t="n">
        <f aca="false">+C13-B13</f>
        <v>694</v>
      </c>
      <c r="F13" s="18"/>
      <c r="G13" s="108"/>
      <c r="H13" s="108"/>
      <c r="I13" s="108"/>
      <c r="J13" s="18"/>
      <c r="K13" s="108"/>
      <c r="L13" s="108"/>
      <c r="M13" s="108"/>
      <c r="N13" s="18"/>
      <c r="O13" s="108"/>
      <c r="P13" s="108"/>
      <c r="Q13" s="108"/>
      <c r="R13" s="18"/>
      <c r="S13" s="108"/>
      <c r="T13" s="108"/>
      <c r="U13" s="108"/>
      <c r="Z13" s="18"/>
      <c r="AA13" s="108"/>
      <c r="AB13" s="108"/>
      <c r="AC13" s="108"/>
    </row>
    <row r="14" customFormat="false" ht="14.1" hidden="false" customHeight="true" outlineLevel="0" collapsed="false">
      <c r="A14" s="18" t="n">
        <v>10</v>
      </c>
      <c r="B14" s="108" t="n">
        <v>-88592</v>
      </c>
      <c r="C14" s="108" t="n">
        <v>-88150</v>
      </c>
      <c r="D14" s="108" t="n">
        <f aca="false">+C14-B14</f>
        <v>442</v>
      </c>
      <c r="F14" s="18"/>
      <c r="G14" s="108"/>
      <c r="H14" s="108"/>
      <c r="I14" s="108"/>
      <c r="J14" s="18"/>
      <c r="K14" s="108"/>
      <c r="L14" s="108"/>
      <c r="M14" s="108"/>
      <c r="N14" s="18"/>
      <c r="O14" s="108"/>
      <c r="P14" s="108"/>
      <c r="Q14" s="108"/>
      <c r="R14" s="18"/>
      <c r="S14" s="108"/>
      <c r="T14" s="108"/>
      <c r="U14" s="108"/>
      <c r="Z14" s="18"/>
      <c r="AA14" s="108"/>
      <c r="AB14" s="108"/>
      <c r="AC14" s="108"/>
    </row>
    <row r="15" customFormat="false" ht="14.1" hidden="false" customHeight="true" outlineLevel="0" collapsed="false">
      <c r="A15" s="18" t="n">
        <v>11</v>
      </c>
      <c r="B15" s="108" t="n">
        <v>-53451</v>
      </c>
      <c r="C15" s="108" t="n">
        <v>-52903</v>
      </c>
      <c r="D15" s="108" t="n">
        <f aca="false">+C15-B15</f>
        <v>548</v>
      </c>
      <c r="F15" s="18"/>
      <c r="G15" s="108"/>
      <c r="H15" s="108"/>
      <c r="I15" s="108"/>
      <c r="J15" s="18"/>
      <c r="K15" s="108"/>
      <c r="L15" s="108"/>
      <c r="M15" s="108"/>
      <c r="N15" s="18"/>
      <c r="O15" s="108"/>
      <c r="P15" s="108"/>
      <c r="Q15" s="108"/>
      <c r="R15" s="18"/>
      <c r="S15" s="108"/>
      <c r="T15" s="108"/>
      <c r="U15" s="108"/>
      <c r="Z15" s="18"/>
      <c r="AA15" s="108"/>
      <c r="AB15" s="108"/>
      <c r="AC15" s="108"/>
    </row>
    <row r="16" customFormat="false" ht="14.1" hidden="false" customHeight="true" outlineLevel="0" collapsed="false">
      <c r="A16" s="18" t="n">
        <v>12</v>
      </c>
      <c r="B16" s="108" t="n">
        <v>-52850</v>
      </c>
      <c r="C16" s="108" t="n">
        <v>-52903</v>
      </c>
      <c r="D16" s="108" t="n">
        <f aca="false">+C16-B16</f>
        <v>-53</v>
      </c>
      <c r="F16" s="18"/>
      <c r="G16" s="108"/>
      <c r="H16" s="108"/>
      <c r="I16" s="108"/>
      <c r="J16" s="18"/>
      <c r="K16" s="108"/>
      <c r="L16" s="108"/>
      <c r="M16" s="108"/>
      <c r="N16" s="18"/>
      <c r="O16" s="108"/>
      <c r="P16" s="108"/>
      <c r="Q16" s="108"/>
      <c r="R16" s="18"/>
      <c r="S16" s="108"/>
      <c r="T16" s="108"/>
      <c r="U16" s="108"/>
      <c r="Z16" s="18"/>
      <c r="AA16" s="108"/>
      <c r="AB16" s="108"/>
      <c r="AC16" s="108"/>
    </row>
    <row r="17" customFormat="false" ht="14.1" hidden="false" customHeight="true" outlineLevel="0" collapsed="false">
      <c r="A17" s="18" t="n">
        <v>13</v>
      </c>
      <c r="B17" s="108" t="n">
        <v>-52893</v>
      </c>
      <c r="C17" s="108" t="n">
        <v>-52903</v>
      </c>
      <c r="D17" s="108" t="n">
        <f aca="false">+C17-B17</f>
        <v>-10</v>
      </c>
      <c r="F17" s="18"/>
      <c r="G17" s="108"/>
      <c r="H17" s="108"/>
      <c r="I17" s="108"/>
      <c r="J17" s="18"/>
      <c r="K17" s="108"/>
      <c r="L17" s="108"/>
      <c r="M17" s="108"/>
      <c r="N17" s="18"/>
      <c r="O17" s="108"/>
      <c r="P17" s="108"/>
      <c r="Q17" s="108"/>
      <c r="R17" s="18"/>
      <c r="S17" s="108"/>
      <c r="T17" s="108"/>
      <c r="U17" s="108"/>
      <c r="Z17" s="18"/>
      <c r="AA17" s="108"/>
      <c r="AB17" s="108"/>
      <c r="AC17" s="108"/>
    </row>
    <row r="18" customFormat="false" ht="14.1" hidden="false" customHeight="true" outlineLevel="0" collapsed="false">
      <c r="A18" s="18" t="n">
        <v>14</v>
      </c>
      <c r="B18" s="108" t="n">
        <v>-59252</v>
      </c>
      <c r="C18" s="108" t="n">
        <v>-59157</v>
      </c>
      <c r="D18" s="108" t="n">
        <f aca="false">+C18-B18</f>
        <v>95</v>
      </c>
      <c r="F18" s="18"/>
      <c r="G18" s="108"/>
      <c r="H18" s="108"/>
      <c r="I18" s="108"/>
      <c r="J18" s="18"/>
      <c r="K18" s="108"/>
      <c r="L18" s="108"/>
      <c r="M18" s="108"/>
      <c r="N18" s="18"/>
      <c r="O18" s="108"/>
      <c r="P18" s="108"/>
      <c r="Q18" s="108"/>
      <c r="R18" s="18"/>
      <c r="S18" s="108"/>
      <c r="T18" s="108"/>
      <c r="U18" s="108"/>
      <c r="Z18" s="18"/>
      <c r="AA18" s="108"/>
      <c r="AB18" s="108"/>
      <c r="AC18" s="108"/>
    </row>
    <row r="19" customFormat="false" ht="14.1" hidden="false" customHeight="true" outlineLevel="0" collapsed="false">
      <c r="A19" s="18" t="n">
        <v>15</v>
      </c>
      <c r="B19" s="108" t="n">
        <v>-47665</v>
      </c>
      <c r="C19" s="108" t="n">
        <v>-47738</v>
      </c>
      <c r="D19" s="108" t="n">
        <f aca="false">+C19-B19</f>
        <v>-73</v>
      </c>
      <c r="F19" s="18"/>
      <c r="G19" s="108"/>
      <c r="H19" s="108"/>
      <c r="I19" s="108"/>
      <c r="J19" s="18"/>
      <c r="K19" s="108"/>
      <c r="L19" s="108"/>
      <c r="M19" s="108"/>
      <c r="N19" s="18"/>
      <c r="O19" s="108"/>
      <c r="P19" s="108"/>
      <c r="Q19" s="108"/>
      <c r="R19" s="18"/>
      <c r="S19" s="108"/>
      <c r="T19" s="108"/>
      <c r="U19" s="108"/>
      <c r="Z19" s="18"/>
      <c r="AA19" s="108"/>
      <c r="AB19" s="108"/>
      <c r="AC19" s="108"/>
    </row>
    <row r="20" customFormat="false" ht="14.1" hidden="false" customHeight="true" outlineLevel="0" collapsed="false">
      <c r="A20" s="18" t="n">
        <v>16</v>
      </c>
      <c r="B20" s="108" t="n">
        <v>-43304</v>
      </c>
      <c r="C20" s="108" t="n">
        <v>-43210</v>
      </c>
      <c r="D20" s="108" t="n">
        <f aca="false">+C20-B20</f>
        <v>94</v>
      </c>
      <c r="F20" s="18"/>
      <c r="G20" s="108"/>
      <c r="H20" s="108"/>
      <c r="I20" s="108"/>
      <c r="J20" s="18"/>
      <c r="K20" s="108"/>
      <c r="L20" s="108"/>
      <c r="M20" s="108"/>
      <c r="N20" s="18"/>
      <c r="O20" s="108"/>
      <c r="P20" s="108"/>
      <c r="Q20" s="108"/>
      <c r="R20" s="18"/>
      <c r="S20" s="108"/>
      <c r="T20" s="108"/>
      <c r="U20" s="108"/>
      <c r="Z20" s="18"/>
      <c r="AA20" s="108"/>
      <c r="AB20" s="108"/>
      <c r="AC20" s="108"/>
    </row>
    <row r="21" customFormat="false" ht="14.1" hidden="false" customHeight="true" outlineLevel="0" collapsed="false">
      <c r="A21" s="18" t="n">
        <v>17</v>
      </c>
      <c r="B21" s="108" t="n">
        <v>-81707</v>
      </c>
      <c r="C21" s="108" t="n">
        <v>-81915</v>
      </c>
      <c r="D21" s="108" t="n">
        <f aca="false">+C21-B21</f>
        <v>-208</v>
      </c>
      <c r="F21" s="18"/>
      <c r="G21" s="108"/>
      <c r="H21" s="108"/>
      <c r="I21" s="108"/>
      <c r="J21" s="18"/>
      <c r="K21" s="108"/>
      <c r="L21" s="108"/>
      <c r="M21" s="108"/>
      <c r="N21" s="18"/>
      <c r="O21" s="108"/>
      <c r="P21" s="108"/>
      <c r="Q21" s="108"/>
      <c r="R21" s="18"/>
      <c r="S21" s="108"/>
      <c r="T21" s="108"/>
      <c r="U21" s="108"/>
      <c r="Z21" s="18"/>
      <c r="AA21" s="108"/>
      <c r="AB21" s="108"/>
      <c r="AC21" s="108"/>
    </row>
    <row r="22" customFormat="false" ht="14.1" hidden="false" customHeight="true" outlineLevel="0" collapsed="false">
      <c r="A22" s="18" t="n">
        <v>18</v>
      </c>
      <c r="B22" s="108" t="n">
        <v>-42631</v>
      </c>
      <c r="C22" s="108" t="n">
        <v>-42144</v>
      </c>
      <c r="D22" s="108" t="n">
        <f aca="false">+C22-B22</f>
        <v>487</v>
      </c>
      <c r="F22" s="18"/>
      <c r="G22" s="108"/>
      <c r="H22" s="108"/>
      <c r="I22" s="108"/>
      <c r="J22" s="18"/>
      <c r="K22" s="108"/>
      <c r="L22" s="108"/>
      <c r="M22" s="108"/>
      <c r="N22" s="18"/>
      <c r="O22" s="108"/>
      <c r="P22" s="108"/>
      <c r="Q22" s="108"/>
      <c r="R22" s="18"/>
      <c r="S22" s="108"/>
      <c r="T22" s="108"/>
      <c r="U22" s="108"/>
      <c r="Z22" s="18"/>
      <c r="AA22" s="108"/>
      <c r="AB22" s="108"/>
      <c r="AC22" s="108"/>
    </row>
    <row r="23" customFormat="false" ht="14.1" hidden="false" customHeight="true" outlineLevel="0" collapsed="false">
      <c r="A23" s="18" t="n">
        <v>19</v>
      </c>
      <c r="B23" s="108" t="n">
        <v>-43653</v>
      </c>
      <c r="C23" s="108" t="n">
        <v>-41943</v>
      </c>
      <c r="D23" s="108" t="n">
        <f aca="false">+C23-B23</f>
        <v>1710</v>
      </c>
      <c r="F23" s="18"/>
      <c r="G23" s="108"/>
      <c r="H23" s="108"/>
      <c r="I23" s="108"/>
      <c r="J23" s="18"/>
      <c r="K23" s="108"/>
      <c r="L23" s="108"/>
      <c r="M23" s="108"/>
      <c r="N23" s="18"/>
      <c r="O23" s="108"/>
      <c r="P23" s="108"/>
      <c r="Q23" s="108"/>
      <c r="R23" s="18"/>
      <c r="S23" s="108"/>
      <c r="T23" s="108"/>
      <c r="U23" s="108"/>
      <c r="Z23" s="18"/>
      <c r="AA23" s="108"/>
      <c r="AB23" s="108"/>
      <c r="AC23" s="108"/>
    </row>
    <row r="24" customFormat="false" ht="14.1" hidden="false" customHeight="true" outlineLevel="0" collapsed="false">
      <c r="A24" s="18" t="n">
        <v>20</v>
      </c>
      <c r="B24" s="108" t="n">
        <v>-43713</v>
      </c>
      <c r="C24" s="108" t="n">
        <v>-42140</v>
      </c>
      <c r="D24" s="108" t="n">
        <f aca="false">+C24-B24</f>
        <v>1573</v>
      </c>
      <c r="F24" s="18"/>
      <c r="G24" s="108"/>
      <c r="H24" s="108"/>
      <c r="I24" s="108"/>
      <c r="J24" s="18"/>
      <c r="K24" s="108"/>
      <c r="L24" s="108"/>
      <c r="M24" s="108"/>
      <c r="N24" s="18"/>
      <c r="O24" s="108"/>
      <c r="P24" s="108"/>
      <c r="Q24" s="108"/>
      <c r="R24" s="18"/>
      <c r="S24" s="108"/>
      <c r="T24" s="108"/>
      <c r="U24" s="108"/>
      <c r="Z24" s="18"/>
      <c r="AA24" s="108"/>
      <c r="AB24" s="108"/>
      <c r="AC24" s="108"/>
    </row>
    <row r="25" customFormat="false" ht="14.1" hidden="false" customHeight="true" outlineLevel="0" collapsed="false">
      <c r="A25" s="18" t="n">
        <v>21</v>
      </c>
      <c r="B25" s="108" t="n">
        <v>-36219</v>
      </c>
      <c r="C25" s="108" t="n">
        <v>-35934</v>
      </c>
      <c r="D25" s="108" t="n">
        <f aca="false">+C25-B25</f>
        <v>285</v>
      </c>
      <c r="F25" s="18"/>
      <c r="G25" s="108"/>
      <c r="H25" s="108"/>
      <c r="I25" s="108"/>
      <c r="J25" s="18"/>
      <c r="K25" s="108"/>
      <c r="L25" s="108"/>
      <c r="M25" s="108"/>
      <c r="N25" s="18"/>
      <c r="O25" s="108"/>
      <c r="P25" s="108"/>
      <c r="Q25" s="108"/>
      <c r="R25" s="18"/>
      <c r="S25" s="108"/>
      <c r="T25" s="108"/>
      <c r="U25" s="108"/>
      <c r="Z25" s="18"/>
      <c r="AA25" s="108"/>
      <c r="AB25" s="108"/>
      <c r="AC25" s="108"/>
    </row>
    <row r="26" customFormat="false" ht="14.1" hidden="false" customHeight="true" outlineLevel="0" collapsed="false">
      <c r="A26" s="18" t="n">
        <v>22</v>
      </c>
      <c r="B26" s="108" t="n">
        <v>-87894</v>
      </c>
      <c r="C26" s="108" t="n">
        <v>-87282</v>
      </c>
      <c r="D26" s="108" t="n">
        <f aca="false">+C26-B26</f>
        <v>612</v>
      </c>
      <c r="F26" s="18"/>
      <c r="G26" s="108"/>
      <c r="H26" s="108"/>
      <c r="I26" s="108"/>
      <c r="J26" s="18"/>
      <c r="K26" s="108"/>
      <c r="L26" s="108"/>
      <c r="M26" s="108"/>
      <c r="N26" s="18"/>
      <c r="O26" s="108"/>
      <c r="P26" s="108"/>
      <c r="Q26" s="108"/>
      <c r="R26" s="18"/>
      <c r="S26" s="108"/>
      <c r="T26" s="108"/>
      <c r="U26" s="108"/>
      <c r="Z26" s="18"/>
      <c r="AA26" s="108"/>
      <c r="AB26" s="108"/>
      <c r="AC26" s="108"/>
    </row>
    <row r="27" customFormat="false" ht="14.1" hidden="false" customHeight="true" outlineLevel="0" collapsed="false">
      <c r="A27" s="18" t="n">
        <v>23</v>
      </c>
      <c r="B27" s="108" t="n">
        <v>-50383</v>
      </c>
      <c r="C27" s="108" t="n">
        <v>-50285</v>
      </c>
      <c r="D27" s="108" t="n">
        <f aca="false">+C27-B27</f>
        <v>98</v>
      </c>
      <c r="F27" s="18"/>
      <c r="G27" s="108"/>
      <c r="H27" s="108"/>
      <c r="I27" s="108"/>
      <c r="J27" s="18"/>
      <c r="K27" s="108"/>
      <c r="L27" s="108"/>
      <c r="M27" s="108"/>
      <c r="N27" s="18"/>
      <c r="O27" s="108"/>
      <c r="P27" s="108"/>
      <c r="Q27" s="108"/>
      <c r="R27" s="18"/>
      <c r="S27" s="108"/>
      <c r="T27" s="108"/>
      <c r="U27" s="108"/>
      <c r="Z27" s="18"/>
      <c r="AA27" s="108"/>
      <c r="AB27" s="108"/>
      <c r="AC27" s="108"/>
    </row>
    <row r="28" customFormat="false" ht="14.1" hidden="false" customHeight="true" outlineLevel="0" collapsed="false">
      <c r="A28" s="18" t="n">
        <v>24</v>
      </c>
      <c r="B28" s="108" t="n">
        <v>-65432</v>
      </c>
      <c r="C28" s="108" t="n">
        <v>-65738</v>
      </c>
      <c r="D28" s="108" t="n">
        <f aca="false">+C28-B28</f>
        <v>-306</v>
      </c>
      <c r="F28" s="18"/>
      <c r="G28" s="108"/>
      <c r="H28" s="108"/>
      <c r="I28" s="108"/>
      <c r="J28" s="18"/>
      <c r="K28" s="108"/>
      <c r="L28" s="108"/>
      <c r="M28" s="108"/>
      <c r="N28" s="18"/>
      <c r="O28" s="108"/>
      <c r="P28" s="108"/>
      <c r="Q28" s="108"/>
      <c r="R28" s="18"/>
      <c r="S28" s="108"/>
      <c r="T28" s="108"/>
      <c r="U28" s="108"/>
      <c r="Z28" s="18"/>
      <c r="AA28" s="108"/>
      <c r="AB28" s="108"/>
      <c r="AC28" s="108"/>
    </row>
    <row r="29" customFormat="false" ht="14.1" hidden="false" customHeight="true" outlineLevel="0" collapsed="false">
      <c r="A29" s="18" t="n">
        <v>25</v>
      </c>
      <c r="B29" s="108" t="n">
        <v>-88880</v>
      </c>
      <c r="C29" s="108" t="n">
        <v>-88719</v>
      </c>
      <c r="D29" s="108" t="n">
        <f aca="false">+C29-B29</f>
        <v>161</v>
      </c>
      <c r="F29" s="18"/>
      <c r="G29" s="108"/>
      <c r="H29" s="108"/>
      <c r="I29" s="108"/>
      <c r="J29" s="18"/>
      <c r="K29" s="108"/>
      <c r="L29" s="108"/>
      <c r="M29" s="108"/>
      <c r="N29" s="18"/>
      <c r="O29" s="108"/>
      <c r="P29" s="108"/>
      <c r="Q29" s="108"/>
      <c r="R29" s="18"/>
      <c r="S29" s="108"/>
      <c r="T29" s="108"/>
      <c r="U29" s="108"/>
      <c r="Z29" s="18"/>
      <c r="AA29" s="108"/>
      <c r="AB29" s="108"/>
      <c r="AC29" s="108"/>
    </row>
    <row r="30" customFormat="false" ht="14.1" hidden="false" customHeight="true" outlineLevel="0" collapsed="false">
      <c r="A30" s="18" t="n">
        <v>26</v>
      </c>
      <c r="B30" s="108" t="n">
        <v>-89441</v>
      </c>
      <c r="C30" s="108" t="n">
        <v>-88745</v>
      </c>
      <c r="D30" s="108" t="n">
        <f aca="false">+C30-B30</f>
        <v>696</v>
      </c>
      <c r="F30" s="18"/>
      <c r="G30" s="108"/>
      <c r="H30" s="108"/>
      <c r="I30" s="108"/>
      <c r="J30" s="18"/>
      <c r="K30" s="108"/>
      <c r="L30" s="108"/>
      <c r="M30" s="108"/>
      <c r="N30" s="18"/>
      <c r="O30" s="108"/>
      <c r="P30" s="108"/>
      <c r="Q30" s="108"/>
      <c r="R30" s="18"/>
      <c r="S30" s="108"/>
      <c r="T30" s="108"/>
      <c r="U30" s="108"/>
      <c r="Z30" s="18"/>
      <c r="AA30" s="108"/>
      <c r="AB30" s="108"/>
      <c r="AC30" s="108"/>
    </row>
    <row r="31" customFormat="false" ht="14.1" hidden="false" customHeight="true" outlineLevel="0" collapsed="false">
      <c r="A31" s="18" t="n">
        <v>27</v>
      </c>
      <c r="B31" s="108" t="n">
        <v>-88618</v>
      </c>
      <c r="C31" s="108" t="n">
        <v>-88659</v>
      </c>
      <c r="D31" s="108" t="n">
        <f aca="false">+C31-B31</f>
        <v>-41</v>
      </c>
      <c r="F31" s="18"/>
      <c r="G31" s="108"/>
      <c r="H31" s="108"/>
      <c r="I31" s="108"/>
      <c r="J31" s="18"/>
      <c r="K31" s="108"/>
      <c r="L31" s="108"/>
      <c r="M31" s="108"/>
      <c r="N31" s="18"/>
      <c r="O31" s="108"/>
      <c r="P31" s="108"/>
      <c r="Q31" s="108"/>
      <c r="R31" s="18"/>
      <c r="S31" s="108"/>
      <c r="T31" s="108"/>
      <c r="U31" s="108"/>
      <c r="Z31" s="18"/>
      <c r="AA31" s="108"/>
      <c r="AB31" s="108"/>
      <c r="AC31" s="108"/>
    </row>
    <row r="32" customFormat="false" ht="14.1" hidden="false" customHeight="true" outlineLevel="0" collapsed="false">
      <c r="A32" s="18" t="n">
        <v>28</v>
      </c>
      <c r="B32" s="108"/>
      <c r="C32" s="108"/>
      <c r="D32" s="108" t="n">
        <f aca="false">+C32-B32</f>
        <v>0</v>
      </c>
      <c r="F32" s="18"/>
      <c r="G32" s="108"/>
      <c r="H32" s="108"/>
      <c r="I32" s="108"/>
      <c r="J32" s="18"/>
      <c r="K32" s="108"/>
      <c r="L32" s="108"/>
      <c r="M32" s="108"/>
      <c r="N32" s="18"/>
      <c r="O32" s="108"/>
      <c r="P32" s="108"/>
      <c r="Q32" s="108"/>
      <c r="R32" s="18"/>
      <c r="S32" s="108"/>
      <c r="T32" s="108"/>
      <c r="U32" s="108"/>
      <c r="Z32" s="18"/>
      <c r="AA32" s="108"/>
      <c r="AB32" s="108"/>
      <c r="AC32" s="108"/>
    </row>
    <row r="33" customFormat="false" ht="14.1" hidden="false" customHeight="true" outlineLevel="0" collapsed="false">
      <c r="A33" s="18" t="n">
        <v>29</v>
      </c>
      <c r="B33" s="108"/>
      <c r="C33" s="108"/>
      <c r="D33" s="108" t="n">
        <f aca="false">+C33-B33</f>
        <v>0</v>
      </c>
      <c r="F33" s="18"/>
      <c r="G33" s="108"/>
      <c r="H33" s="108"/>
      <c r="I33" s="108"/>
      <c r="J33" s="18"/>
      <c r="K33" s="108"/>
      <c r="L33" s="108"/>
      <c r="M33" s="108"/>
      <c r="N33" s="18"/>
      <c r="O33" s="108"/>
      <c r="P33" s="108"/>
      <c r="Q33" s="108"/>
      <c r="R33" s="18"/>
      <c r="S33" s="108"/>
      <c r="T33" s="108"/>
      <c r="U33" s="108"/>
      <c r="Z33" s="18"/>
      <c r="AA33" s="108"/>
      <c r="AB33" s="108"/>
      <c r="AC33" s="108"/>
    </row>
    <row r="34" customFormat="false" ht="14.1" hidden="false" customHeight="true" outlineLevel="0" collapsed="false">
      <c r="A34" s="18" t="n">
        <v>30</v>
      </c>
      <c r="B34" s="108"/>
      <c r="C34" s="108"/>
      <c r="D34" s="108" t="n">
        <f aca="false">+C34-B34</f>
        <v>0</v>
      </c>
      <c r="F34" s="18"/>
      <c r="G34" s="108"/>
      <c r="H34" s="108"/>
      <c r="I34" s="108"/>
      <c r="J34" s="233"/>
      <c r="K34" s="108"/>
      <c r="L34" s="108"/>
      <c r="M34" s="108"/>
      <c r="N34" s="233"/>
      <c r="O34" s="108"/>
      <c r="P34" s="108"/>
      <c r="Q34" s="108"/>
      <c r="R34" s="233"/>
      <c r="S34" s="108"/>
      <c r="T34" s="108"/>
      <c r="U34" s="108"/>
      <c r="V34" s="59"/>
      <c r="W34" s="59"/>
      <c r="X34" s="59"/>
      <c r="Y34" s="59"/>
      <c r="Z34" s="233"/>
      <c r="AA34" s="108"/>
      <c r="AB34" s="108"/>
      <c r="AC34" s="108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</row>
    <row r="35" customFormat="false" ht="14.1" hidden="false" customHeight="true" outlineLevel="0" collapsed="false">
      <c r="A35" s="18" t="n">
        <v>31</v>
      </c>
      <c r="B35" s="108"/>
      <c r="C35" s="108"/>
      <c r="D35" s="108" t="n">
        <f aca="false">+C35-B35</f>
        <v>0</v>
      </c>
      <c r="F35" s="18"/>
      <c r="G35" s="108"/>
      <c r="H35" s="108"/>
      <c r="I35" s="108"/>
      <c r="J35" s="233"/>
      <c r="K35" s="108"/>
      <c r="L35" s="108"/>
      <c r="M35" s="108"/>
      <c r="N35" s="233"/>
      <c r="O35" s="108"/>
      <c r="P35" s="108"/>
      <c r="Q35" s="108"/>
      <c r="R35" s="233"/>
      <c r="S35" s="108"/>
      <c r="T35" s="108"/>
      <c r="U35" s="108"/>
      <c r="V35" s="59"/>
      <c r="W35" s="59"/>
      <c r="X35" s="59"/>
      <c r="Y35" s="59"/>
      <c r="Z35" s="233"/>
      <c r="AA35" s="108"/>
      <c r="AB35" s="108"/>
      <c r="AC35" s="108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</row>
    <row r="36" customFormat="false" ht="14.1" hidden="false" customHeight="true" outlineLevel="0" collapsed="false">
      <c r="A36" s="18"/>
      <c r="B36" s="108" t="n">
        <f aca="false">SUM(B5:B35)</f>
        <v>-1629682</v>
      </c>
      <c r="C36" s="108" t="n">
        <f aca="false">SUM(C5:C35)</f>
        <v>-1621204</v>
      </c>
      <c r="D36" s="108" t="n">
        <f aca="false">+C36-B36</f>
        <v>8478</v>
      </c>
      <c r="F36" s="18"/>
      <c r="G36" s="108"/>
      <c r="H36" s="108"/>
      <c r="I36" s="108"/>
      <c r="J36" s="233"/>
      <c r="K36" s="108"/>
      <c r="L36" s="108"/>
      <c r="M36" s="108"/>
      <c r="N36" s="233"/>
      <c r="O36" s="108"/>
      <c r="P36" s="108"/>
      <c r="Q36" s="108"/>
      <c r="R36" s="233"/>
      <c r="S36" s="108"/>
      <c r="T36" s="108"/>
      <c r="U36" s="108"/>
      <c r="V36" s="59"/>
      <c r="W36" s="59"/>
      <c r="X36" s="59"/>
      <c r="Y36" s="59"/>
      <c r="Z36" s="233"/>
      <c r="AA36" s="108"/>
      <c r="AB36" s="108"/>
      <c r="AC36" s="108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</row>
    <row r="37" customFormat="false" ht="14.1" hidden="false" customHeight="true" outlineLevel="0" collapsed="false">
      <c r="A37" s="9"/>
      <c r="B37" s="30"/>
      <c r="C37" s="30"/>
      <c r="D37" s="30"/>
      <c r="F37" s="9"/>
      <c r="G37" s="30"/>
      <c r="H37" s="30"/>
      <c r="I37" s="30"/>
      <c r="J37" s="28"/>
      <c r="K37" s="30"/>
      <c r="L37" s="30"/>
      <c r="M37" s="30"/>
      <c r="N37" s="28"/>
      <c r="O37" s="30"/>
      <c r="P37" s="30"/>
      <c r="Q37" s="30"/>
      <c r="R37" s="28"/>
      <c r="S37" s="30"/>
      <c r="T37" s="30"/>
      <c r="U37" s="30"/>
      <c r="V37" s="59"/>
      <c r="W37" s="59"/>
      <c r="X37" s="59"/>
      <c r="Y37" s="59"/>
      <c r="Z37" s="28"/>
      <c r="AA37" s="30"/>
      <c r="AB37" s="30"/>
      <c r="AC37" s="30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</row>
    <row r="38" customFormat="false" ht="12.75" hidden="false" customHeight="false" outlineLevel="0" collapsed="false">
      <c r="B38" s="275" t="n">
        <v>37103</v>
      </c>
      <c r="C38" s="108"/>
      <c r="D38" s="121" t="n">
        <v>34979</v>
      </c>
      <c r="E38" s="19"/>
      <c r="G38" s="108"/>
      <c r="H38" s="108"/>
      <c r="I38" s="108"/>
      <c r="J38" s="59"/>
      <c r="K38" s="108"/>
      <c r="L38" s="108"/>
      <c r="M38" s="108"/>
      <c r="N38" s="59"/>
      <c r="O38" s="108"/>
      <c r="P38" s="108"/>
      <c r="Q38" s="108"/>
      <c r="R38" s="59"/>
      <c r="S38" s="108"/>
      <c r="T38" s="108"/>
      <c r="U38" s="108"/>
      <c r="V38" s="59"/>
      <c r="W38" s="59"/>
      <c r="X38" s="59"/>
      <c r="Y38" s="59"/>
      <c r="Z38" s="59"/>
      <c r="AA38" s="108"/>
      <c r="AB38" s="108"/>
      <c r="AC38" s="108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</row>
    <row r="39" customFormat="false" ht="12.75" hidden="false" customHeight="false" outlineLevel="0" collapsed="false">
      <c r="B39" s="275"/>
      <c r="C39" s="108"/>
      <c r="D39" s="108"/>
      <c r="E39" s="19"/>
      <c r="G39" s="108"/>
      <c r="H39" s="108"/>
      <c r="I39" s="108"/>
      <c r="J39" s="59"/>
      <c r="K39" s="108"/>
      <c r="L39" s="108"/>
      <c r="M39" s="108"/>
      <c r="N39" s="59"/>
      <c r="O39" s="108"/>
      <c r="P39" s="108"/>
      <c r="Q39" s="108"/>
      <c r="R39" s="59"/>
      <c r="S39" s="108"/>
      <c r="T39" s="108"/>
      <c r="U39" s="108"/>
      <c r="V39" s="59"/>
      <c r="W39" s="59"/>
      <c r="X39" s="59"/>
      <c r="Y39" s="59"/>
      <c r="Z39" s="59"/>
      <c r="AA39" s="108"/>
      <c r="AB39" s="108"/>
      <c r="AC39" s="108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</row>
    <row r="40" customFormat="false" ht="13.5" hidden="false" customHeight="false" outlineLevel="0" collapsed="false">
      <c r="B40" s="275" t="n">
        <v>37130</v>
      </c>
      <c r="C40" s="108"/>
      <c r="D40" s="276" t="n">
        <f aca="false">+D36+D38</f>
        <v>43457</v>
      </c>
      <c r="E40" s="277"/>
      <c r="G40" s="108"/>
      <c r="H40" s="108"/>
      <c r="I40" s="108"/>
      <c r="J40" s="59"/>
      <c r="K40" s="108"/>
      <c r="L40" s="108"/>
      <c r="M40" s="108"/>
      <c r="N40" s="59"/>
      <c r="O40" s="108"/>
      <c r="P40" s="108"/>
      <c r="Q40" s="250"/>
      <c r="R40" s="59"/>
      <c r="S40" s="108"/>
      <c r="T40" s="108"/>
      <c r="U40" s="250"/>
      <c r="V40" s="59"/>
      <c r="W40" s="59"/>
      <c r="X40" s="59"/>
      <c r="Y40" s="59"/>
      <c r="Z40" s="59"/>
      <c r="AA40" s="108"/>
      <c r="AB40" s="108"/>
      <c r="AC40" s="250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</row>
    <row r="41" customFormat="false" ht="13.5" hidden="false" customHeight="false" outlineLevel="0" collapsed="false">
      <c r="B41" s="278"/>
      <c r="C41" s="0"/>
      <c r="D41" s="0"/>
      <c r="E41" s="1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</row>
    <row r="42" customFormat="false" ht="12.75" hidden="false" customHeight="false" outlineLevel="0" collapsed="false">
      <c r="B42" s="19"/>
      <c r="C42" s="0"/>
      <c r="D42" s="0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</row>
    <row r="43" customFormat="false" ht="12.75" hidden="false" customHeight="false" outlineLevel="0" collapsed="false">
      <c r="B43" s="0"/>
      <c r="C43" s="0"/>
      <c r="D43" s="0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</row>
    <row r="44" customFormat="false" ht="12.75" hidden="false" customHeight="false" outlineLevel="0" collapsed="false">
      <c r="A44" s="9" t="s">
        <v>120</v>
      </c>
      <c r="B44" s="9"/>
      <c r="C44" s="9"/>
      <c r="D44" s="16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</row>
    <row r="45" customFormat="false" ht="12.75" hidden="false" customHeight="false" outlineLevel="0" collapsed="false">
      <c r="A45" s="124" t="n">
        <f aca="false">+B38</f>
        <v>37103</v>
      </c>
      <c r="B45" s="9"/>
      <c r="C45" s="9"/>
      <c r="D45" s="125" t="n">
        <v>-287550.35</v>
      </c>
    </row>
    <row r="46" customFormat="false" ht="12.75" hidden="false" customHeight="false" outlineLevel="0" collapsed="false">
      <c r="A46" s="124" t="n">
        <f aca="false">+B40</f>
        <v>37130</v>
      </c>
      <c r="B46" s="9"/>
      <c r="C46" s="9"/>
      <c r="D46" s="126" t="n">
        <f aca="false">+D36*'by type'!J4</f>
        <v>23823.18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-263727.17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3" sqref="A24 D22 C12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163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114</v>
      </c>
      <c r="C4" s="283" t="s">
        <v>115</v>
      </c>
      <c r="D4" s="284" t="s">
        <v>117</v>
      </c>
    </row>
    <row r="5" customFormat="false" ht="12.75" hidden="false" customHeight="false" outlineLevel="0" collapsed="false">
      <c r="A5" s="282" t="n">
        <v>56339</v>
      </c>
      <c r="B5" s="280" t="n">
        <v>905097</v>
      </c>
      <c r="C5" s="280" t="n">
        <v>935278</v>
      </c>
      <c r="D5" s="280" t="n">
        <f aca="false">+C5-B5</f>
        <v>30181</v>
      </c>
      <c r="E5" s="27"/>
      <c r="F5" s="285"/>
    </row>
    <row r="6" customFormat="false" ht="12.75" hidden="false" customHeight="false" outlineLevel="0" collapsed="false">
      <c r="A6" s="282" t="n">
        <v>500232</v>
      </c>
      <c r="B6" s="280"/>
      <c r="C6" s="280"/>
      <c r="D6" s="280" t="n">
        <f aca="false">+C6-B6</f>
        <v>0</v>
      </c>
      <c r="E6" s="27"/>
      <c r="F6" s="285"/>
      <c r="K6" s="286" t="n">
        <v>36531</v>
      </c>
      <c r="L6" s="0" t="s">
        <v>164</v>
      </c>
      <c r="M6" s="0" t="n">
        <v>0.5</v>
      </c>
    </row>
    <row r="7" customFormat="false" ht="12.75" hidden="false" customHeight="false" outlineLevel="0" collapsed="false">
      <c r="A7" s="282" t="n">
        <v>500238</v>
      </c>
      <c r="B7" s="280" t="n">
        <v>859340</v>
      </c>
      <c r="C7" s="280" t="n">
        <v>842565</v>
      </c>
      <c r="D7" s="280" t="n">
        <f aca="false">+C7-B7</f>
        <v>-16775</v>
      </c>
      <c r="E7" s="27"/>
      <c r="F7" s="285"/>
      <c r="L7" s="0" t="s">
        <v>165</v>
      </c>
      <c r="M7" s="0" t="n">
        <v>7.6</v>
      </c>
    </row>
    <row r="8" customFormat="false" ht="12.75" hidden="false" customHeight="false" outlineLevel="0" collapsed="false">
      <c r="A8" s="282" t="n">
        <v>500239</v>
      </c>
      <c r="B8" s="287" t="n">
        <v>1174590</v>
      </c>
      <c r="C8" s="280" t="n">
        <v>1234138</v>
      </c>
      <c r="D8" s="280" t="n">
        <f aca="false">+C8-B8</f>
        <v>59548</v>
      </c>
      <c r="E8" s="27"/>
      <c r="F8" s="285"/>
    </row>
    <row r="9" customFormat="false" ht="12.75" hidden="false" customHeight="false" outlineLevel="0" collapsed="false">
      <c r="A9" s="282" t="n">
        <v>500293</v>
      </c>
      <c r="B9" s="280" t="n">
        <v>393088</v>
      </c>
      <c r="C9" s="280" t="n">
        <v>546819</v>
      </c>
      <c r="D9" s="280" t="n">
        <f aca="false">+C9-B9</f>
        <v>153731</v>
      </c>
      <c r="E9" s="27"/>
      <c r="F9" s="285"/>
    </row>
    <row r="10" customFormat="false" ht="12.75" hidden="false" customHeight="false" outlineLevel="0" collapsed="false">
      <c r="A10" s="282" t="n">
        <v>500302</v>
      </c>
      <c r="B10" s="287"/>
      <c r="C10" s="287" t="n">
        <v>10152</v>
      </c>
      <c r="D10" s="280" t="n">
        <f aca="false">+C10-B10</f>
        <v>10152</v>
      </c>
      <c r="E10" s="27"/>
      <c r="F10" s="285"/>
    </row>
    <row r="11" customFormat="false" ht="12.75" hidden="false" customHeight="false" outlineLevel="0" collapsed="false">
      <c r="A11" s="282" t="n">
        <v>500303</v>
      </c>
      <c r="B11" s="287" t="n">
        <v>236730</v>
      </c>
      <c r="C11" s="280" t="n">
        <v>301114</v>
      </c>
      <c r="D11" s="280" t="n">
        <f aca="false">+C11-B11</f>
        <v>64384</v>
      </c>
      <c r="E11" s="27"/>
      <c r="F11" s="285"/>
    </row>
    <row r="12" customFormat="false" ht="12.75" hidden="false" customHeight="false" outlineLevel="0" collapsed="false">
      <c r="A12" s="288" t="n">
        <v>500305</v>
      </c>
      <c r="B12" s="287" t="n">
        <v>925899</v>
      </c>
      <c r="C12" s="280" t="n">
        <v>1198302</v>
      </c>
      <c r="D12" s="280" t="n">
        <f aca="false">+C12-B12</f>
        <v>272403</v>
      </c>
      <c r="E12" s="289"/>
      <c r="F12" s="285"/>
    </row>
    <row r="13" customFormat="false" ht="12.75" hidden="false" customHeight="false" outlineLevel="0" collapsed="false">
      <c r="A13" s="282" t="n">
        <v>500307</v>
      </c>
      <c r="B13" s="287" t="n">
        <v>96406</v>
      </c>
      <c r="C13" s="280" t="n">
        <v>104790</v>
      </c>
      <c r="D13" s="280" t="n">
        <f aca="false">+C13-B13</f>
        <v>8384</v>
      </c>
      <c r="E13" s="27"/>
      <c r="F13" s="285"/>
    </row>
    <row r="14" customFormat="false" ht="12.75" hidden="false" customHeight="false" outlineLevel="0" collapsed="false">
      <c r="A14" s="282" t="n">
        <v>500313</v>
      </c>
      <c r="B14" s="280"/>
      <c r="C14" s="287" t="n">
        <v>2831</v>
      </c>
      <c r="D14" s="280" t="n">
        <f aca="false">+C14-B14</f>
        <v>2831</v>
      </c>
      <c r="E14" s="27"/>
      <c r="F14" s="285"/>
    </row>
    <row r="15" customFormat="false" ht="12.75" hidden="false" customHeight="false" outlineLevel="0" collapsed="false">
      <c r="A15" s="282" t="n">
        <v>500314</v>
      </c>
      <c r="B15" s="280"/>
      <c r="C15" s="280"/>
      <c r="D15" s="280" t="n">
        <f aca="false">+C15-B15</f>
        <v>0</v>
      </c>
      <c r="E15" s="27"/>
      <c r="F15" s="285"/>
    </row>
    <row r="16" customFormat="false" ht="12.75" hidden="false" customHeight="false" outlineLevel="0" collapsed="false">
      <c r="A16" s="282" t="n">
        <v>500655</v>
      </c>
      <c r="B16" s="290" t="n">
        <v>606960</v>
      </c>
      <c r="C16" s="280"/>
      <c r="D16" s="280" t="n">
        <f aca="false">+C16-B16</f>
        <v>-606960</v>
      </c>
      <c r="E16" s="27"/>
      <c r="F16" s="285"/>
    </row>
    <row r="17" customFormat="false" ht="12.75" hidden="false" customHeight="false" outlineLevel="0" collapsed="false">
      <c r="A17" s="282" t="n">
        <v>500657</v>
      </c>
      <c r="B17" s="287" t="n">
        <v>131964</v>
      </c>
      <c r="C17" s="280" t="n">
        <v>148449</v>
      </c>
      <c r="D17" s="291" t="n">
        <f aca="false">+C17-B17</f>
        <v>16485</v>
      </c>
      <c r="E17" s="27"/>
      <c r="F17" s="285"/>
    </row>
    <row r="18" customFormat="false" ht="12.75" hidden="false" customHeight="false" outlineLevel="0" collapsed="false">
      <c r="A18" s="282"/>
      <c r="B18" s="280"/>
      <c r="C18" s="280"/>
      <c r="D18" s="280" t="n">
        <f aca="false">SUM(D5:D17)</f>
        <v>-5636</v>
      </c>
      <c r="E18" s="27"/>
      <c r="F18" s="285"/>
    </row>
    <row r="19" customFormat="false" ht="12.75" hidden="false" customHeight="false" outlineLevel="0" collapsed="false">
      <c r="A19" s="282" t="s">
        <v>166</v>
      </c>
      <c r="B19" s="280"/>
      <c r="C19" s="280"/>
      <c r="D19" s="292" t="n">
        <f aca="false">+summary!H4</f>
        <v>2.81</v>
      </c>
      <c r="E19" s="293"/>
      <c r="F19" s="285"/>
    </row>
    <row r="20" customFormat="false" ht="12.75" hidden="false" customHeight="false" outlineLevel="0" collapsed="false">
      <c r="A20" s="282"/>
      <c r="B20" s="280"/>
      <c r="C20" s="280"/>
      <c r="D20" s="294" t="n">
        <f aca="false">+D19*D18</f>
        <v>-15837.16</v>
      </c>
      <c r="E20" s="111"/>
      <c r="F20" s="295"/>
    </row>
    <row r="21" customFormat="false" ht="12.75" hidden="false" customHeight="false" outlineLevel="0" collapsed="false">
      <c r="A21" s="282"/>
      <c r="B21" s="280"/>
      <c r="C21" s="280"/>
      <c r="D21" s="294"/>
      <c r="E21" s="111"/>
      <c r="F21" s="295"/>
    </row>
    <row r="22" customFormat="false" ht="12.75" hidden="false" customHeight="false" outlineLevel="0" collapsed="false">
      <c r="A22" s="296" t="n">
        <v>37103</v>
      </c>
      <c r="B22" s="280"/>
      <c r="C22" s="280"/>
      <c r="D22" s="297" t="n">
        <v>-131785.95</v>
      </c>
      <c r="E22" s="111"/>
      <c r="F22" s="298"/>
    </row>
    <row r="23" customFormat="false" ht="12.75" hidden="false" customHeight="false" outlineLevel="0" collapsed="false">
      <c r="A23" s="282"/>
      <c r="B23" s="280"/>
      <c r="C23" s="280"/>
      <c r="D23" s="294"/>
      <c r="E23" s="111"/>
      <c r="F23" s="298"/>
    </row>
    <row r="24" customFormat="false" ht="13.5" hidden="false" customHeight="false" outlineLevel="0" collapsed="false">
      <c r="A24" s="296" t="n">
        <v>37130</v>
      </c>
      <c r="B24" s="280"/>
      <c r="C24" s="280"/>
      <c r="D24" s="299" t="n">
        <f aca="false">+D22+D20</f>
        <v>-147623.11</v>
      </c>
      <c r="E24" s="111"/>
      <c r="F24" s="298"/>
    </row>
    <row r="25" customFormat="false" ht="13.5" hidden="false" customHeight="false" outlineLevel="0" collapsed="false">
      <c r="E25" s="300"/>
    </row>
    <row r="28" customFormat="false" ht="12.75" hidden="false" customHeight="false" outlineLevel="0" collapsed="false">
      <c r="A28" s="9" t="s">
        <v>125</v>
      </c>
      <c r="B28" s="9"/>
      <c r="C28" s="9"/>
      <c r="D28" s="9"/>
    </row>
    <row r="29" customFormat="false" ht="12.75" hidden="false" customHeight="false" outlineLevel="0" collapsed="false">
      <c r="A29" s="124" t="n">
        <f aca="false">+A22</f>
        <v>37103</v>
      </c>
      <c r="B29" s="9"/>
      <c r="C29" s="9"/>
      <c r="D29" s="301" t="n">
        <v>-81746</v>
      </c>
    </row>
    <row r="30" customFormat="false" ht="12.75" hidden="false" customHeight="false" outlineLevel="0" collapsed="false">
      <c r="A30" s="124" t="n">
        <f aca="false">+A24</f>
        <v>37130</v>
      </c>
      <c r="B30" s="9"/>
      <c r="C30" s="9"/>
      <c r="D30" s="37" t="n">
        <f aca="false">+D18</f>
        <v>-5636</v>
      </c>
    </row>
    <row r="31" customFormat="false" ht="12.75" hidden="false" customHeight="false" outlineLevel="0" collapsed="false">
      <c r="A31" s="9"/>
      <c r="B31" s="9"/>
      <c r="C31" s="9"/>
      <c r="D31" s="30" t="n">
        <f aca="false">+D30+D29</f>
        <v>-87382</v>
      </c>
    </row>
    <row r="32" customFormat="false" ht="12.75" hidden="false" customHeight="false" outlineLevel="0" collapsed="false">
      <c r="A32" s="127"/>
      <c r="B32" s="128"/>
      <c r="C32" s="129"/>
      <c r="D32" s="129"/>
    </row>
    <row r="33" customFormat="false" ht="12.75" hidden="false" customHeight="false" outlineLevel="0" collapsed="false">
      <c r="B33" s="27"/>
      <c r="C33" s="27"/>
      <c r="D33" s="27"/>
      <c r="E33" s="31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27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27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31"/>
      <c r="G44" s="9"/>
    </row>
    <row r="45" customFormat="false" ht="12.75" hidden="false" customHeight="false" outlineLevel="0" collapsed="false">
      <c r="B45" s="27"/>
      <c r="C45" s="27"/>
      <c r="D45" s="27"/>
      <c r="E45" s="27"/>
      <c r="F45" s="31"/>
      <c r="G45" s="9"/>
    </row>
    <row r="46" customFormat="false" ht="12.75" hidden="false" customHeight="false" outlineLevel="0" collapsed="false">
      <c r="B46" s="27"/>
      <c r="C46" s="27"/>
      <c r="D46" s="47"/>
      <c r="E46" s="47"/>
      <c r="F46" s="38"/>
      <c r="G46" s="9"/>
    </row>
    <row r="47" customFormat="false" ht="12.75" hidden="false" customHeight="false" outlineLevel="0" collapsed="false">
      <c r="A47" s="9"/>
      <c r="B47" s="27"/>
      <c r="C47" s="27"/>
      <c r="D47" s="27"/>
      <c r="E47" s="27"/>
      <c r="F47" s="31"/>
      <c r="G47" s="9"/>
    </row>
    <row r="48" customFormat="false" ht="12.75" hidden="false" customHeight="false" outlineLevel="0" collapsed="false">
      <c r="A48" s="9"/>
      <c r="B48" s="27"/>
      <c r="C48" s="27"/>
      <c r="D48" s="302"/>
      <c r="E48" s="302"/>
      <c r="F48" s="31"/>
      <c r="G48" s="9"/>
    </row>
    <row r="49" customFormat="false" ht="12.75" hidden="false" customHeight="false" outlineLevel="0" collapsed="false">
      <c r="B49" s="27"/>
      <c r="C49" s="27"/>
      <c r="D49" s="27"/>
      <c r="E49" s="27"/>
      <c r="F49" s="295"/>
      <c r="G49" s="9"/>
    </row>
    <row r="50" customFormat="false" ht="12.75" hidden="false" customHeight="false" outlineLevel="0" collapsed="false">
      <c r="B50" s="27"/>
      <c r="C50" s="27"/>
      <c r="D50" s="27"/>
      <c r="E50" s="27"/>
      <c r="F50" s="295"/>
      <c r="G50" s="9"/>
    </row>
    <row r="51" customFormat="false" ht="12.75" hidden="false" customHeight="false" outlineLevel="0" collapsed="false">
      <c r="E51" s="3"/>
      <c r="F51" s="298"/>
    </row>
    <row r="52" customFormat="false" ht="12.75" hidden="false" customHeight="false" outlineLevel="0" collapsed="false">
      <c r="A52" s="9"/>
      <c r="D52" s="303"/>
      <c r="E52" s="303"/>
      <c r="F52" s="298"/>
    </row>
    <row r="53" customFormat="false" ht="12.75" hidden="false" customHeight="false" outlineLevel="0" collapsed="false">
      <c r="A53" s="9"/>
      <c r="E53" s="3"/>
      <c r="F53" s="298"/>
    </row>
    <row r="54" customFormat="false" ht="12.75" hidden="false" customHeight="false" outlineLevel="0" collapsed="false">
      <c r="A54" s="9"/>
      <c r="E54" s="3"/>
      <c r="F54" s="298"/>
    </row>
    <row r="55" customFormat="false" ht="13.5" hidden="false" customHeight="false" outlineLevel="0" collapsed="false">
      <c r="A55" s="9"/>
      <c r="D55" s="304"/>
      <c r="E55" s="304"/>
      <c r="F55" s="298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7"/>
      <c r="C83" s="27"/>
      <c r="D83" s="27"/>
      <c r="E83" s="31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27"/>
      <c r="E95" s="27"/>
      <c r="F95" s="31"/>
    </row>
    <row r="96" customFormat="false" ht="12.75" hidden="false" customHeight="false" outlineLevel="0" collapsed="false">
      <c r="B96" s="27"/>
      <c r="C96" s="27"/>
      <c r="D96" s="47"/>
      <c r="E96" s="47"/>
      <c r="F96" s="38"/>
    </row>
    <row r="97" customFormat="false" ht="12.75" hidden="false" customHeight="false" outlineLevel="0" collapsed="false">
      <c r="A97" s="9"/>
      <c r="B97" s="27"/>
      <c r="C97" s="27"/>
      <c r="D97" s="27"/>
      <c r="E97" s="27"/>
      <c r="F97" s="31"/>
    </row>
    <row r="98" customFormat="false" ht="12.75" hidden="false" customHeight="false" outlineLevel="0" collapsed="false">
      <c r="A98" s="9"/>
      <c r="B98" s="27"/>
      <c r="C98" s="27"/>
      <c r="D98" s="302"/>
      <c r="E98" s="302"/>
      <c r="F98" s="31"/>
    </row>
    <row r="99" customFormat="false" ht="12.75" hidden="false" customHeight="false" outlineLevel="0" collapsed="false">
      <c r="B99" s="27"/>
      <c r="C99" s="27"/>
      <c r="D99" s="27"/>
      <c r="E99" s="27"/>
      <c r="F99" s="295"/>
    </row>
    <row r="100" customFormat="false" ht="12.75" hidden="false" customHeight="false" outlineLevel="0" collapsed="false">
      <c r="B100" s="27"/>
      <c r="C100" s="27"/>
      <c r="D100" s="27"/>
      <c r="E100" s="27"/>
      <c r="F100" s="295"/>
    </row>
    <row r="101" customFormat="false" ht="12.75" hidden="false" customHeight="false" outlineLevel="0" collapsed="false">
      <c r="A101" s="9"/>
      <c r="D101" s="303"/>
      <c r="E101" s="303"/>
      <c r="F101" s="298"/>
    </row>
    <row r="102" customFormat="false" ht="12.75" hidden="false" customHeight="false" outlineLevel="0" collapsed="false">
      <c r="A102" s="9"/>
      <c r="E102" s="3"/>
      <c r="F102" s="298"/>
    </row>
    <row r="103" customFormat="false" ht="13.5" hidden="false" customHeight="false" outlineLevel="0" collapsed="false">
      <c r="A103" s="9"/>
      <c r="D103" s="304"/>
      <c r="E103" s="304"/>
      <c r="F103" s="298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7"/>
      <c r="C109" s="27"/>
      <c r="D109" s="27"/>
      <c r="E109" s="31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27"/>
      <c r="E121" s="27"/>
      <c r="F121" s="31"/>
    </row>
    <row r="122" customFormat="false" ht="12.75" hidden="false" customHeight="false" outlineLevel="0" collapsed="false">
      <c r="B122" s="27"/>
      <c r="C122" s="27"/>
      <c r="D122" s="47"/>
      <c r="E122" s="47"/>
      <c r="F122" s="38"/>
    </row>
    <row r="123" customFormat="false" ht="12.75" hidden="false" customHeight="false" outlineLevel="0" collapsed="false">
      <c r="A123" s="9"/>
      <c r="B123" s="27"/>
      <c r="C123" s="27"/>
      <c r="D123" s="27"/>
      <c r="E123" s="27"/>
      <c r="F123" s="31"/>
    </row>
    <row r="124" customFormat="false" ht="12.75" hidden="false" customHeight="false" outlineLevel="0" collapsed="false">
      <c r="A124" s="9"/>
      <c r="B124" s="27"/>
      <c r="C124" s="27"/>
      <c r="D124" s="302"/>
      <c r="E124" s="302"/>
      <c r="F124" s="31"/>
    </row>
    <row r="125" customFormat="false" ht="12.75" hidden="false" customHeight="false" outlineLevel="0" collapsed="false">
      <c r="B125" s="27"/>
      <c r="C125" s="27"/>
      <c r="D125" s="111"/>
      <c r="E125" s="111"/>
      <c r="F125" s="295"/>
    </row>
    <row r="126" customFormat="false" ht="12.75" hidden="false" customHeight="false" outlineLevel="0" collapsed="false">
      <c r="B126" s="27"/>
      <c r="C126" s="27"/>
      <c r="D126" s="111"/>
      <c r="E126" s="111"/>
      <c r="F126" s="295"/>
    </row>
    <row r="127" customFormat="false" ht="12.75" hidden="false" customHeight="false" outlineLevel="0" collapsed="false">
      <c r="A127" s="9"/>
      <c r="D127" s="305"/>
      <c r="E127" s="305"/>
      <c r="F127" s="298"/>
    </row>
    <row r="128" customFormat="false" ht="12.75" hidden="false" customHeight="false" outlineLevel="0" collapsed="false">
      <c r="A128" s="9"/>
      <c r="D128" s="111"/>
      <c r="E128" s="111"/>
      <c r="F128" s="298"/>
    </row>
    <row r="129" customFormat="false" ht="13.5" hidden="false" customHeight="false" outlineLevel="0" collapsed="false">
      <c r="A129" s="9"/>
      <c r="D129" s="306"/>
      <c r="E129" s="306"/>
      <c r="F129" s="298"/>
    </row>
    <row r="130" customFormat="false" ht="13.5" hidden="false" customHeight="false" outlineLevel="0" collapsed="false"/>
    <row r="134" customFormat="false" ht="12.75" hidden="false" customHeight="false" outlineLevel="0" collapsed="false">
      <c r="B134" s="27"/>
      <c r="C134" s="27"/>
      <c r="D134" s="27"/>
      <c r="E134" s="31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27"/>
      <c r="E146" s="27"/>
      <c r="F146" s="31"/>
    </row>
    <row r="147" customFormat="false" ht="12.75" hidden="false" customHeight="false" outlineLevel="0" collapsed="false">
      <c r="B147" s="27"/>
      <c r="C147" s="27"/>
      <c r="D147" s="47"/>
      <c r="E147" s="47"/>
      <c r="F147" s="38"/>
    </row>
    <row r="148" customFormat="false" ht="12.75" hidden="false" customHeight="false" outlineLevel="0" collapsed="false">
      <c r="A148" s="9"/>
      <c r="B148" s="27"/>
      <c r="C148" s="27"/>
      <c r="D148" s="27"/>
      <c r="E148" s="27"/>
      <c r="F148" s="31"/>
    </row>
    <row r="149" customFormat="false" ht="12.75" hidden="false" customHeight="false" outlineLevel="0" collapsed="false">
      <c r="A149" s="9"/>
      <c r="B149" s="27"/>
      <c r="C149" s="27"/>
      <c r="D149" s="302"/>
      <c r="E149" s="302"/>
      <c r="F149" s="31"/>
    </row>
    <row r="150" customFormat="false" ht="12.75" hidden="false" customHeight="false" outlineLevel="0" collapsed="false">
      <c r="B150" s="27"/>
      <c r="C150" s="27"/>
      <c r="D150" s="111"/>
      <c r="E150" s="111"/>
      <c r="F150" s="295"/>
    </row>
    <row r="151" customFormat="false" ht="12.75" hidden="false" customHeight="false" outlineLevel="0" collapsed="false">
      <c r="B151" s="27"/>
      <c r="C151" s="27"/>
      <c r="D151" s="111"/>
      <c r="E151" s="111"/>
      <c r="F151" s="295"/>
    </row>
    <row r="152" customFormat="false" ht="12.75" hidden="false" customHeight="false" outlineLevel="0" collapsed="false">
      <c r="A152" s="9"/>
      <c r="D152" s="305"/>
      <c r="E152" s="305"/>
      <c r="F152" s="298"/>
    </row>
    <row r="153" customFormat="false" ht="12.75" hidden="false" customHeight="false" outlineLevel="0" collapsed="false">
      <c r="A153" s="9"/>
      <c r="D153" s="111"/>
      <c r="E153" s="111"/>
      <c r="F153" s="298"/>
    </row>
    <row r="154" customFormat="false" ht="13.5" hidden="false" customHeight="false" outlineLevel="0" collapsed="false">
      <c r="A154" s="9"/>
      <c r="D154" s="306"/>
      <c r="E154" s="306"/>
      <c r="F154" s="298"/>
    </row>
    <row r="155" customFormat="false" ht="13.5" hidden="false" customHeight="false" outlineLevel="0" collapsed="false"/>
    <row r="159" customFormat="false" ht="12.75" hidden="false" customHeight="false" outlineLevel="0" collapsed="false">
      <c r="B159" s="27"/>
      <c r="C159" s="27"/>
      <c r="D159" s="27"/>
      <c r="E159" s="31"/>
      <c r="F159" s="31"/>
    </row>
    <row r="160" customFormat="false" ht="12.75" hidden="false" customHeight="false" outlineLevel="0" collapsed="false">
      <c r="B160" s="307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30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27"/>
      <c r="C164" s="27"/>
      <c r="D164" s="27"/>
      <c r="E164" s="27"/>
      <c r="F164" s="31"/>
    </row>
    <row r="165" customFormat="false" ht="12.75" hidden="false" customHeight="false" outlineLevel="0" collapsed="false">
      <c r="B165" s="307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27"/>
      <c r="C169" s="27"/>
      <c r="D169" s="27"/>
      <c r="E169" s="27"/>
      <c r="F169" s="31"/>
    </row>
    <row r="170" customFormat="false" ht="12.75" hidden="false" customHeight="false" outlineLevel="0" collapsed="false">
      <c r="B170" s="307"/>
      <c r="C170" s="27"/>
      <c r="D170" s="27"/>
      <c r="E170" s="27"/>
      <c r="F170" s="31"/>
    </row>
    <row r="171" customFormat="false" ht="12.75" hidden="false" customHeight="false" outlineLevel="0" collapsed="false">
      <c r="B171" s="307"/>
      <c r="C171" s="27"/>
      <c r="D171" s="27"/>
      <c r="E171" s="27"/>
      <c r="F171" s="31"/>
    </row>
    <row r="172" customFormat="false" ht="12.75" hidden="false" customHeight="false" outlineLevel="0" collapsed="false">
      <c r="B172" s="307"/>
      <c r="C172" s="27"/>
      <c r="D172" s="47"/>
      <c r="E172" s="47"/>
      <c r="F172" s="38"/>
    </row>
    <row r="173" customFormat="false" ht="12.75" hidden="false" customHeight="false" outlineLevel="0" collapsed="false">
      <c r="A173" s="9"/>
      <c r="B173" s="27"/>
      <c r="C173" s="27"/>
      <c r="D173" s="27"/>
      <c r="E173" s="27"/>
      <c r="F173" s="31"/>
    </row>
    <row r="174" customFormat="false" ht="12.75" hidden="false" customHeight="false" outlineLevel="0" collapsed="false">
      <c r="A174" s="9"/>
      <c r="B174" s="27"/>
      <c r="C174" s="27"/>
      <c r="D174" s="302"/>
      <c r="E174" s="302"/>
      <c r="F174" s="31"/>
    </row>
    <row r="175" customFormat="false" ht="12.75" hidden="false" customHeight="false" outlineLevel="0" collapsed="false">
      <c r="B175" s="27"/>
      <c r="C175" s="27"/>
      <c r="D175" s="111"/>
      <c r="E175" s="111"/>
      <c r="F175" s="295"/>
    </row>
    <row r="176" customFormat="false" ht="12.75" hidden="false" customHeight="false" outlineLevel="0" collapsed="false">
      <c r="B176" s="27"/>
      <c r="C176" s="27"/>
      <c r="D176" s="111"/>
      <c r="E176" s="111"/>
      <c r="F176" s="295"/>
    </row>
    <row r="177" customFormat="false" ht="12.75" hidden="false" customHeight="false" outlineLevel="0" collapsed="false">
      <c r="A177" s="9"/>
      <c r="D177" s="305"/>
      <c r="E177" s="305"/>
      <c r="F177" s="298"/>
    </row>
    <row r="178" customFormat="false" ht="12.75" hidden="false" customHeight="false" outlineLevel="0" collapsed="false">
      <c r="A178" s="9"/>
      <c r="D178" s="111"/>
      <c r="E178" s="111"/>
      <c r="F178" s="298"/>
    </row>
    <row r="179" customFormat="false" ht="13.5" hidden="false" customHeight="false" outlineLevel="0" collapsed="false">
      <c r="A179" s="9"/>
      <c r="D179" s="306"/>
      <c r="E179" s="306"/>
      <c r="F179" s="298"/>
    </row>
    <row r="180" customFormat="false" ht="13.5" hidden="false" customHeight="false" outlineLevel="0" collapsed="false"/>
    <row r="183" customFormat="false" ht="12.75" hidden="false" customHeight="false" outlineLevel="0" collapsed="false">
      <c r="B183" s="27"/>
      <c r="C183" s="27"/>
      <c r="D183" s="27"/>
      <c r="E183" s="31"/>
      <c r="F183" s="31"/>
    </row>
    <row r="184" customFormat="false" ht="12.75" hidden="false" customHeight="false" outlineLevel="0" collapsed="false">
      <c r="B184" s="307"/>
      <c r="C184" s="27"/>
      <c r="D184" s="27"/>
      <c r="E184" s="27"/>
      <c r="F184" s="31"/>
    </row>
    <row r="185" customFormat="false" ht="12.75" hidden="false" customHeight="false" outlineLevel="0" collapsed="false">
      <c r="B185" s="27"/>
      <c r="C185" s="27"/>
      <c r="D185" s="27"/>
      <c r="E185" s="27"/>
      <c r="F185" s="31"/>
    </row>
    <row r="186" customFormat="false" ht="12.75" hidden="false" customHeight="false" outlineLevel="0" collapsed="false">
      <c r="B186" s="30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27"/>
      <c r="C188" s="27"/>
      <c r="D188" s="27"/>
      <c r="E188" s="27"/>
      <c r="F188" s="31"/>
    </row>
    <row r="189" customFormat="false" ht="12.75" hidden="false" customHeight="false" outlineLevel="0" collapsed="false">
      <c r="B189" s="307"/>
      <c r="C189" s="27"/>
      <c r="D189" s="27"/>
      <c r="E189" s="27"/>
      <c r="F189" s="31"/>
    </row>
    <row r="190" customFormat="false" ht="12.75" hidden="false" customHeight="false" outlineLevel="0" collapsed="false">
      <c r="B190" s="27"/>
      <c r="C190" s="27"/>
      <c r="D190" s="27"/>
      <c r="E190" s="27"/>
      <c r="F190" s="31"/>
    </row>
    <row r="191" customFormat="false" ht="12.75" hidden="false" customHeight="false" outlineLevel="0" collapsed="false">
      <c r="A191" s="308"/>
      <c r="B191" s="309"/>
      <c r="C191" s="309"/>
      <c r="D191" s="309"/>
      <c r="E191" s="309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27"/>
      <c r="C193" s="27"/>
      <c r="D193" s="27"/>
      <c r="E193" s="27"/>
      <c r="F193" s="31"/>
    </row>
    <row r="194" customFormat="false" ht="12.75" hidden="false" customHeight="false" outlineLevel="0" collapsed="false">
      <c r="B194" s="307"/>
      <c r="C194" s="27"/>
      <c r="D194" s="27"/>
      <c r="E194" s="27"/>
      <c r="F194" s="31"/>
    </row>
    <row r="195" customFormat="false" ht="12.75" hidden="false" customHeight="false" outlineLevel="0" collapsed="false">
      <c r="B195" s="307"/>
      <c r="C195" s="27"/>
      <c r="D195" s="27"/>
      <c r="E195" s="27"/>
      <c r="F195" s="31"/>
    </row>
    <row r="196" customFormat="false" ht="12.75" hidden="false" customHeight="false" outlineLevel="0" collapsed="false">
      <c r="B196" s="307"/>
      <c r="C196" s="27"/>
      <c r="D196" s="47"/>
      <c r="E196" s="47"/>
      <c r="F196" s="38"/>
    </row>
    <row r="197" customFormat="false" ht="12.75" hidden="false" customHeight="false" outlineLevel="0" collapsed="false">
      <c r="A197" s="9"/>
      <c r="B197" s="27"/>
      <c r="C197" s="27"/>
      <c r="D197" s="27"/>
      <c r="E197" s="27"/>
      <c r="F197" s="31"/>
    </row>
    <row r="198" customFormat="false" ht="12.75" hidden="false" customHeight="false" outlineLevel="0" collapsed="false">
      <c r="A198" s="9"/>
      <c r="B198" s="27"/>
      <c r="C198" s="27"/>
      <c r="D198" s="302"/>
      <c r="E198" s="302"/>
      <c r="F198" s="31"/>
    </row>
    <row r="199" customFormat="false" ht="12.75" hidden="false" customHeight="false" outlineLevel="0" collapsed="false">
      <c r="B199" s="27"/>
      <c r="C199" s="27"/>
      <c r="D199" s="111"/>
      <c r="E199" s="111"/>
      <c r="F199" s="295"/>
    </row>
    <row r="200" customFormat="false" ht="12.75" hidden="false" customHeight="false" outlineLevel="0" collapsed="false">
      <c r="B200" s="27"/>
      <c r="C200" s="27"/>
      <c r="D200" s="111"/>
      <c r="E200" s="111"/>
      <c r="F200" s="295"/>
    </row>
    <row r="201" customFormat="false" ht="12.75" hidden="false" customHeight="false" outlineLevel="0" collapsed="false">
      <c r="A201" s="9"/>
      <c r="D201" s="305"/>
      <c r="E201" s="305"/>
      <c r="F201" s="298"/>
    </row>
    <row r="202" customFormat="false" ht="12.75" hidden="false" customHeight="false" outlineLevel="0" collapsed="false">
      <c r="A202" s="9"/>
      <c r="D202" s="111"/>
      <c r="E202" s="111"/>
      <c r="F202" s="298"/>
    </row>
    <row r="203" customFormat="false" ht="13.5" hidden="false" customHeight="false" outlineLevel="0" collapsed="false">
      <c r="A203" s="9"/>
      <c r="D203" s="310"/>
      <c r="E203" s="306"/>
      <c r="F203" s="298"/>
    </row>
    <row r="204" customFormat="false" ht="13.5" hidden="false" customHeight="false" outlineLevel="0" collapsed="false"/>
    <row r="210" customFormat="false" ht="12.75" hidden="false" customHeight="false" outlineLevel="0" collapsed="false">
      <c r="B210" s="307"/>
      <c r="C210" s="27"/>
      <c r="D210" s="27"/>
      <c r="E210" s="27"/>
      <c r="F210" s="31"/>
    </row>
    <row r="211" customFormat="false" ht="12.75" hidden="false" customHeight="false" outlineLevel="0" collapsed="false">
      <c r="B211" s="27"/>
      <c r="C211" s="27"/>
      <c r="D211" s="27"/>
      <c r="E211" s="27"/>
      <c r="F211" s="31"/>
    </row>
    <row r="212" customFormat="false" ht="12.75" hidden="false" customHeight="false" outlineLevel="0" collapsed="false">
      <c r="B212" s="30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27"/>
      <c r="C214" s="27"/>
      <c r="D214" s="27"/>
      <c r="E214" s="27"/>
      <c r="F214" s="31"/>
    </row>
    <row r="215" customFormat="false" ht="12.75" hidden="false" customHeight="false" outlineLevel="0" collapsed="false">
      <c r="B215" s="307"/>
      <c r="C215" s="27"/>
      <c r="D215" s="27"/>
      <c r="E215" s="27"/>
      <c r="F215" s="31"/>
    </row>
    <row r="216" customFormat="false" ht="12.75" hidden="false" customHeight="false" outlineLevel="0" collapsed="false">
      <c r="B216" s="27"/>
      <c r="C216" s="27"/>
      <c r="D216" s="27"/>
      <c r="E216" s="27"/>
      <c r="F216" s="31"/>
    </row>
    <row r="217" customFormat="false" ht="12.75" hidden="false" customHeight="false" outlineLevel="0" collapsed="false">
      <c r="A217" s="308"/>
      <c r="B217" s="309"/>
      <c r="C217" s="309"/>
      <c r="D217" s="309"/>
      <c r="E217" s="309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27"/>
      <c r="C219" s="27"/>
      <c r="D219" s="27"/>
      <c r="E219" s="27"/>
      <c r="F219" s="31"/>
    </row>
    <row r="220" customFormat="false" ht="12.75" hidden="false" customHeight="false" outlineLevel="0" collapsed="false">
      <c r="B220" s="307"/>
      <c r="C220" s="27"/>
      <c r="D220" s="27"/>
      <c r="E220" s="27"/>
      <c r="F220" s="31"/>
    </row>
    <row r="221" customFormat="false" ht="12.75" hidden="false" customHeight="false" outlineLevel="0" collapsed="false">
      <c r="B221" s="307"/>
      <c r="C221" s="27"/>
      <c r="D221" s="27"/>
      <c r="E221" s="27"/>
      <c r="F221" s="31"/>
    </row>
    <row r="222" customFormat="false" ht="12.75" hidden="false" customHeight="false" outlineLevel="0" collapsed="false">
      <c r="B222" s="307"/>
      <c r="C222" s="27"/>
      <c r="D222" s="47"/>
      <c r="E222" s="47"/>
      <c r="F222" s="38"/>
    </row>
    <row r="223" customFormat="false" ht="12.75" hidden="false" customHeight="false" outlineLevel="0" collapsed="false">
      <c r="A223" s="9"/>
      <c r="B223" s="27"/>
      <c r="C223" s="27"/>
      <c r="D223" s="27"/>
      <c r="E223" s="27"/>
      <c r="F223" s="31"/>
    </row>
    <row r="224" customFormat="false" ht="12.75" hidden="false" customHeight="false" outlineLevel="0" collapsed="false">
      <c r="A224" s="9"/>
      <c r="B224" s="27"/>
      <c r="C224" s="27"/>
      <c r="D224" s="302"/>
      <c r="E224" s="302"/>
      <c r="F224" s="31"/>
    </row>
    <row r="225" customFormat="false" ht="12.75" hidden="false" customHeight="false" outlineLevel="0" collapsed="false">
      <c r="B225" s="27"/>
      <c r="C225" s="27"/>
      <c r="D225" s="111"/>
      <c r="E225" s="111"/>
      <c r="F225" s="295"/>
    </row>
    <row r="226" customFormat="false" ht="12.75" hidden="false" customHeight="false" outlineLevel="0" collapsed="false">
      <c r="B226" s="27"/>
      <c r="C226" s="27"/>
      <c r="D226" s="111"/>
      <c r="E226" s="111"/>
      <c r="F226" s="295"/>
    </row>
    <row r="227" customFormat="false" ht="12.75" hidden="false" customHeight="false" outlineLevel="0" collapsed="false">
      <c r="A227" s="9"/>
      <c r="D227" s="305"/>
      <c r="E227" s="305"/>
      <c r="F227" s="298"/>
    </row>
    <row r="228" customFormat="false" ht="12.75" hidden="false" customHeight="false" outlineLevel="0" collapsed="false">
      <c r="A228" s="9"/>
      <c r="D228" s="111"/>
      <c r="E228" s="111"/>
      <c r="F228" s="298"/>
    </row>
    <row r="229" customFormat="false" ht="13.5" hidden="false" customHeight="false" outlineLevel="0" collapsed="false">
      <c r="A229" s="9"/>
      <c r="D229" s="310"/>
      <c r="E229" s="306"/>
      <c r="F229" s="298"/>
    </row>
    <row r="230" customFormat="false" ht="13.5" hidden="false" customHeight="false" outlineLevel="0" collapsed="false"/>
    <row r="234" customFormat="false" ht="12.75" hidden="false" customHeight="false" outlineLevel="0" collapsed="false">
      <c r="B234" s="307"/>
      <c r="C234" s="27"/>
      <c r="D234" s="27"/>
      <c r="E234" s="27"/>
      <c r="F234" s="31"/>
    </row>
    <row r="235" customFormat="false" ht="12.75" hidden="false" customHeight="false" outlineLevel="0" collapsed="false">
      <c r="B235" s="27"/>
      <c r="C235" s="27"/>
      <c r="D235" s="27"/>
      <c r="E235" s="27"/>
      <c r="F235" s="31"/>
    </row>
    <row r="236" customFormat="false" ht="12.75" hidden="false" customHeight="false" outlineLevel="0" collapsed="false">
      <c r="B236" s="30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27"/>
      <c r="C238" s="27"/>
      <c r="D238" s="27"/>
      <c r="E238" s="27"/>
      <c r="F238" s="31"/>
    </row>
    <row r="239" customFormat="false" ht="12.75" hidden="false" customHeight="false" outlineLevel="0" collapsed="false">
      <c r="B239" s="307"/>
      <c r="C239" s="27"/>
      <c r="D239" s="27"/>
      <c r="E239" s="27"/>
      <c r="F239" s="31"/>
    </row>
    <row r="240" customFormat="false" ht="12.75" hidden="false" customHeight="false" outlineLevel="0" collapsed="false">
      <c r="B240" s="27"/>
      <c r="C240" s="27"/>
      <c r="D240" s="27"/>
      <c r="E240" s="27"/>
      <c r="F240" s="31"/>
    </row>
    <row r="241" customFormat="false" ht="12.75" hidden="false" customHeight="false" outlineLevel="0" collapsed="false">
      <c r="A241" s="311"/>
      <c r="B241" s="289"/>
      <c r="C241" s="289"/>
      <c r="D241" s="289"/>
      <c r="E241" s="289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27"/>
      <c r="C243" s="27"/>
      <c r="D243" s="27"/>
      <c r="E243" s="27"/>
      <c r="F243" s="31"/>
    </row>
    <row r="244" customFormat="false" ht="12.75" hidden="false" customHeight="false" outlineLevel="0" collapsed="false">
      <c r="B244" s="307"/>
      <c r="C244" s="27"/>
      <c r="D244" s="27"/>
      <c r="E244" s="27"/>
      <c r="F244" s="31"/>
    </row>
    <row r="245" customFormat="false" ht="12.75" hidden="false" customHeight="false" outlineLevel="0" collapsed="false">
      <c r="B245" s="307"/>
      <c r="C245" s="27"/>
      <c r="D245" s="27"/>
      <c r="E245" s="27"/>
      <c r="F245" s="31"/>
    </row>
    <row r="246" customFormat="false" ht="12.75" hidden="false" customHeight="false" outlineLevel="0" collapsed="false">
      <c r="B246" s="307"/>
      <c r="C246" s="27"/>
      <c r="D246" s="47"/>
      <c r="E246" s="47"/>
      <c r="F246" s="38"/>
    </row>
    <row r="247" customFormat="false" ht="12.75" hidden="false" customHeight="false" outlineLevel="0" collapsed="false">
      <c r="A247" s="9"/>
      <c r="B247" s="27"/>
      <c r="C247" s="27"/>
      <c r="D247" s="27"/>
      <c r="E247" s="27"/>
      <c r="F247" s="31"/>
    </row>
    <row r="248" customFormat="false" ht="12.75" hidden="false" customHeight="false" outlineLevel="0" collapsed="false">
      <c r="A248" s="9"/>
      <c r="B248" s="27"/>
      <c r="C248" s="27"/>
      <c r="D248" s="302"/>
      <c r="E248" s="302"/>
      <c r="F248" s="31"/>
    </row>
    <row r="249" customFormat="false" ht="12.75" hidden="false" customHeight="false" outlineLevel="0" collapsed="false">
      <c r="B249" s="27"/>
      <c r="C249" s="27"/>
      <c r="D249" s="111"/>
      <c r="E249" s="111"/>
      <c r="F249" s="295"/>
    </row>
    <row r="250" customFormat="false" ht="12.75" hidden="false" customHeight="false" outlineLevel="0" collapsed="false">
      <c r="B250" s="27"/>
      <c r="C250" s="27"/>
      <c r="D250" s="111"/>
      <c r="E250" s="111"/>
      <c r="F250" s="295"/>
    </row>
    <row r="251" customFormat="false" ht="12.75" hidden="false" customHeight="false" outlineLevel="0" collapsed="false">
      <c r="A251" s="9"/>
      <c r="D251" s="305"/>
      <c r="E251" s="305"/>
      <c r="F251" s="298"/>
    </row>
    <row r="252" customFormat="false" ht="12.75" hidden="false" customHeight="false" outlineLevel="0" collapsed="false">
      <c r="A252" s="9"/>
      <c r="D252" s="111"/>
      <c r="E252" s="111"/>
      <c r="F252" s="298"/>
    </row>
    <row r="253" customFormat="false" ht="13.5" hidden="false" customHeight="false" outlineLevel="0" collapsed="false">
      <c r="A253" s="9"/>
      <c r="D253" s="312"/>
      <c r="E253" s="306"/>
      <c r="F253" s="298"/>
    </row>
    <row r="254" customFormat="false" ht="13.5" hidden="false" customHeight="false" outlineLevel="0" collapsed="false"/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280"/>
      <c r="C257" s="280"/>
      <c r="D257" s="280"/>
    </row>
    <row r="258" customFormat="false" ht="12.75" hidden="false" customHeight="false" outlineLevel="0" collapsed="false">
      <c r="A258" s="282"/>
      <c r="B258" s="313"/>
      <c r="C258" s="280"/>
      <c r="D258" s="280"/>
      <c r="E258" s="27"/>
      <c r="F258" s="31"/>
    </row>
    <row r="259" customFormat="false" ht="12.75" hidden="false" customHeight="false" outlineLevel="0" collapsed="false">
      <c r="A259" s="282"/>
      <c r="B259" s="280"/>
      <c r="C259" s="280"/>
      <c r="D259" s="280"/>
      <c r="E259" s="27"/>
      <c r="F259" s="31"/>
    </row>
    <row r="260" customFormat="false" ht="12.75" hidden="false" customHeight="false" outlineLevel="0" collapsed="false">
      <c r="A260" s="282"/>
      <c r="B260" s="313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280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313"/>
      <c r="C263" s="280"/>
      <c r="D263" s="280"/>
      <c r="E263" s="27"/>
      <c r="F263" s="31"/>
    </row>
    <row r="264" customFormat="false" ht="12.75" hidden="false" customHeight="false" outlineLevel="0" collapsed="false">
      <c r="A264" s="282"/>
      <c r="B264" s="280"/>
      <c r="C264" s="280"/>
      <c r="D264" s="280"/>
      <c r="E264" s="27"/>
      <c r="F264" s="31"/>
    </row>
    <row r="265" customFormat="false" ht="12.75" hidden="false" customHeight="false" outlineLevel="0" collapsed="false">
      <c r="A265" s="288"/>
      <c r="B265" s="314"/>
      <c r="C265" s="314"/>
      <c r="D265" s="314"/>
      <c r="E265" s="289"/>
      <c r="F265" s="31"/>
    </row>
    <row r="266" customFormat="false" ht="12.75" hidden="false" customHeight="false" outlineLevel="0" collapsed="false">
      <c r="A266" s="282"/>
      <c r="B266" s="280"/>
      <c r="C266" s="280"/>
      <c r="D266" s="280"/>
      <c r="E266" s="27"/>
      <c r="F266" s="31"/>
    </row>
    <row r="267" customFormat="false" ht="12.75" hidden="false" customHeight="false" outlineLevel="0" collapsed="false">
      <c r="A267" s="282"/>
      <c r="B267" s="280"/>
      <c r="C267" s="280"/>
      <c r="D267" s="280"/>
      <c r="E267" s="27"/>
      <c r="F267" s="31"/>
    </row>
    <row r="268" customFormat="false" ht="12.75" hidden="false" customHeight="false" outlineLevel="0" collapsed="false">
      <c r="A268" s="282"/>
      <c r="B268" s="313"/>
      <c r="C268" s="280"/>
      <c r="D268" s="280"/>
      <c r="E268" s="27"/>
      <c r="F268" s="31"/>
    </row>
    <row r="269" customFormat="false" ht="12.75" hidden="false" customHeight="false" outlineLevel="0" collapsed="false">
      <c r="A269" s="282"/>
      <c r="B269" s="313"/>
      <c r="C269" s="280"/>
      <c r="D269" s="280"/>
      <c r="E269" s="27"/>
      <c r="F269" s="31"/>
    </row>
    <row r="270" customFormat="false" ht="12.75" hidden="false" customHeight="false" outlineLevel="0" collapsed="false">
      <c r="A270" s="282"/>
      <c r="B270" s="313"/>
      <c r="C270" s="280"/>
      <c r="D270" s="291"/>
      <c r="E270" s="47"/>
      <c r="F270" s="38"/>
    </row>
    <row r="271" customFormat="false" ht="12.75" hidden="false" customHeight="false" outlineLevel="0" collapsed="false">
      <c r="A271" s="282"/>
      <c r="B271" s="280"/>
      <c r="C271" s="280"/>
      <c r="D271" s="280"/>
      <c r="E271" s="27"/>
      <c r="F271" s="31"/>
    </row>
    <row r="272" customFormat="false" ht="12.75" hidden="false" customHeight="false" outlineLevel="0" collapsed="false">
      <c r="A272" s="282"/>
      <c r="B272" s="280"/>
      <c r="C272" s="280"/>
      <c r="D272" s="292"/>
      <c r="E272" s="302"/>
      <c r="F272" s="31"/>
    </row>
    <row r="273" customFormat="false" ht="12.75" hidden="false" customHeight="false" outlineLevel="0" collapsed="false">
      <c r="A273" s="282"/>
      <c r="B273" s="280"/>
      <c r="C273" s="280"/>
      <c r="D273" s="294"/>
      <c r="E273" s="111"/>
      <c r="F273" s="295"/>
    </row>
    <row r="274" customFormat="false" ht="12.75" hidden="false" customHeight="false" outlineLevel="0" collapsed="false">
      <c r="A274" s="282"/>
      <c r="B274" s="280"/>
      <c r="C274" s="280"/>
      <c r="D274" s="294"/>
      <c r="E274" s="111"/>
      <c r="F274" s="295"/>
    </row>
    <row r="275" customFormat="false" ht="12.75" hidden="false" customHeight="false" outlineLevel="0" collapsed="false">
      <c r="A275" s="282"/>
      <c r="B275" s="280"/>
      <c r="C275" s="280"/>
      <c r="D275" s="315"/>
      <c r="E275" s="305"/>
      <c r="F275" s="298"/>
    </row>
    <row r="276" customFormat="false" ht="12.75" hidden="false" customHeight="false" outlineLevel="0" collapsed="false">
      <c r="A276" s="282"/>
      <c r="B276" s="280"/>
      <c r="C276" s="280"/>
      <c r="D276" s="294"/>
      <c r="E276" s="111"/>
      <c r="F276" s="298"/>
    </row>
    <row r="277" customFormat="false" ht="13.5" hidden="false" customHeight="false" outlineLevel="0" collapsed="false">
      <c r="A277" s="282"/>
      <c r="B277" s="280"/>
      <c r="C277" s="280"/>
      <c r="D277" s="316"/>
      <c r="E277" s="306"/>
      <c r="F277" s="298"/>
    </row>
    <row r="278" customFormat="false" ht="13.5" hidden="false" customHeight="false" outlineLevel="0" collapsed="false"/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280"/>
      <c r="C282" s="280"/>
      <c r="D282" s="280"/>
    </row>
    <row r="283" customFormat="false" ht="12.75" hidden="false" customHeight="false" outlineLevel="0" collapsed="false">
      <c r="A283" s="282"/>
      <c r="B283" s="313"/>
      <c r="C283" s="280"/>
      <c r="D283" s="280"/>
      <c r="E283" s="27"/>
      <c r="F283" s="31"/>
    </row>
    <row r="284" customFormat="false" ht="12.75" hidden="false" customHeight="false" outlineLevel="0" collapsed="false">
      <c r="A284" s="282"/>
      <c r="B284" s="280"/>
      <c r="C284" s="280"/>
      <c r="D284" s="280"/>
      <c r="E284" s="27"/>
      <c r="F284" s="31"/>
    </row>
    <row r="285" customFormat="false" ht="12.75" hidden="false" customHeight="false" outlineLevel="0" collapsed="false">
      <c r="A285" s="282"/>
      <c r="B285" s="313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280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313"/>
      <c r="C288" s="280"/>
      <c r="D288" s="280"/>
      <c r="E288" s="27"/>
      <c r="F288" s="31"/>
    </row>
    <row r="289" customFormat="false" ht="12.75" hidden="false" customHeight="false" outlineLevel="0" collapsed="false">
      <c r="A289" s="282"/>
      <c r="B289" s="280"/>
      <c r="C289" s="280"/>
      <c r="D289" s="280"/>
      <c r="E289" s="27"/>
      <c r="F289" s="31"/>
    </row>
    <row r="290" customFormat="false" ht="12.75" hidden="false" customHeight="false" outlineLevel="0" collapsed="false">
      <c r="A290" s="288"/>
      <c r="B290" s="314"/>
      <c r="C290" s="314"/>
      <c r="D290" s="314"/>
      <c r="E290" s="289"/>
      <c r="F290" s="31"/>
    </row>
    <row r="291" customFormat="false" ht="12.75" hidden="false" customHeight="false" outlineLevel="0" collapsed="false">
      <c r="A291" s="282"/>
      <c r="B291" s="280"/>
      <c r="C291" s="280"/>
      <c r="D291" s="280"/>
      <c r="E291" s="27"/>
      <c r="F291" s="31"/>
    </row>
    <row r="292" customFormat="false" ht="12.75" hidden="false" customHeight="false" outlineLevel="0" collapsed="false">
      <c r="A292" s="282"/>
      <c r="B292" s="280"/>
      <c r="C292" s="280"/>
      <c r="D292" s="280"/>
      <c r="E292" s="27"/>
      <c r="F292" s="31"/>
    </row>
    <row r="293" customFormat="false" ht="12.75" hidden="false" customHeight="false" outlineLevel="0" collapsed="false">
      <c r="A293" s="282"/>
      <c r="B293" s="313"/>
      <c r="C293" s="280"/>
      <c r="D293" s="280"/>
      <c r="E293" s="27"/>
      <c r="F293" s="31"/>
    </row>
    <row r="294" customFormat="false" ht="12.75" hidden="false" customHeight="false" outlineLevel="0" collapsed="false">
      <c r="A294" s="282"/>
      <c r="B294" s="313"/>
      <c r="C294" s="280"/>
      <c r="D294" s="280"/>
      <c r="E294" s="27"/>
      <c r="F294" s="31"/>
    </row>
    <row r="295" customFormat="false" ht="12.75" hidden="false" customHeight="false" outlineLevel="0" collapsed="false">
      <c r="A295" s="282"/>
      <c r="B295" s="313"/>
      <c r="C295" s="280"/>
      <c r="D295" s="291"/>
      <c r="E295" s="47"/>
      <c r="F295" s="38"/>
    </row>
    <row r="296" customFormat="false" ht="12.75" hidden="false" customHeight="false" outlineLevel="0" collapsed="false">
      <c r="A296" s="282"/>
      <c r="B296" s="280"/>
      <c r="C296" s="280"/>
      <c r="D296" s="280"/>
      <c r="E296" s="27"/>
      <c r="F296" s="31"/>
    </row>
    <row r="297" customFormat="false" ht="12.75" hidden="false" customHeight="false" outlineLevel="0" collapsed="false">
      <c r="A297" s="282"/>
      <c r="B297" s="280"/>
      <c r="C297" s="280"/>
      <c r="D297" s="292"/>
      <c r="E297" s="302"/>
      <c r="F297" s="31"/>
    </row>
    <row r="298" customFormat="false" ht="12.75" hidden="false" customHeight="false" outlineLevel="0" collapsed="false">
      <c r="A298" s="282"/>
      <c r="B298" s="280"/>
      <c r="C298" s="280"/>
      <c r="D298" s="294"/>
      <c r="E298" s="111"/>
      <c r="F298" s="295"/>
    </row>
    <row r="299" customFormat="false" ht="12.75" hidden="false" customHeight="false" outlineLevel="0" collapsed="false">
      <c r="A299" s="282"/>
      <c r="B299" s="280"/>
      <c r="C299" s="280"/>
      <c r="D299" s="294"/>
      <c r="E299" s="111"/>
      <c r="F299" s="295"/>
    </row>
    <row r="300" customFormat="false" ht="12.75" hidden="false" customHeight="false" outlineLevel="0" collapsed="false">
      <c r="A300" s="296"/>
      <c r="B300" s="280"/>
      <c r="C300" s="280"/>
      <c r="D300" s="315"/>
      <c r="E300" s="305"/>
      <c r="F300" s="298"/>
    </row>
    <row r="301" customFormat="false" ht="12.75" hidden="false" customHeight="false" outlineLevel="0" collapsed="false">
      <c r="A301" s="282"/>
      <c r="B301" s="280"/>
      <c r="C301" s="280"/>
      <c r="D301" s="294"/>
      <c r="E301" s="111"/>
      <c r="F301" s="298"/>
    </row>
    <row r="302" customFormat="false" ht="13.5" hidden="false" customHeight="false" outlineLevel="0" collapsed="false">
      <c r="A302" s="282"/>
      <c r="B302" s="280"/>
      <c r="C302" s="280"/>
      <c r="D302" s="316"/>
      <c r="E302" s="306"/>
      <c r="F302" s="298"/>
    </row>
    <row r="303" customFormat="false" ht="13.5" hidden="false" customHeight="false" outlineLevel="0" collapsed="false"/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280"/>
      <c r="C309" s="280"/>
      <c r="D309" s="280"/>
    </row>
    <row r="310" customFormat="false" ht="12.75" hidden="false" customHeight="false" outlineLevel="0" collapsed="false">
      <c r="A310" s="282"/>
      <c r="B310" s="313"/>
      <c r="C310" s="280"/>
      <c r="D310" s="280"/>
      <c r="E310" s="27"/>
      <c r="F310" s="31"/>
    </row>
    <row r="311" customFormat="false" ht="12.75" hidden="false" customHeight="false" outlineLevel="0" collapsed="false">
      <c r="A311" s="282"/>
      <c r="B311" s="280"/>
      <c r="C311" s="280"/>
      <c r="D311" s="280"/>
      <c r="E311" s="27"/>
      <c r="F311" s="31"/>
    </row>
    <row r="312" customFormat="false" ht="12.75" hidden="false" customHeight="false" outlineLevel="0" collapsed="false">
      <c r="A312" s="282"/>
      <c r="B312" s="313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280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313"/>
      <c r="C315" s="280"/>
      <c r="D315" s="280"/>
      <c r="E315" s="27"/>
      <c r="F315" s="31"/>
    </row>
    <row r="316" customFormat="false" ht="12.75" hidden="false" customHeight="false" outlineLevel="0" collapsed="false">
      <c r="A316" s="282"/>
      <c r="B316" s="280"/>
      <c r="C316" s="280"/>
      <c r="D316" s="280"/>
      <c r="E316" s="27"/>
      <c r="F316" s="31"/>
    </row>
    <row r="317" customFormat="false" ht="12.75" hidden="false" customHeight="false" outlineLevel="0" collapsed="false">
      <c r="A317" s="288"/>
      <c r="B317" s="314"/>
      <c r="C317" s="314"/>
      <c r="D317" s="314"/>
      <c r="E317" s="289"/>
      <c r="F317" s="31"/>
    </row>
    <row r="318" customFormat="false" ht="12.75" hidden="false" customHeight="false" outlineLevel="0" collapsed="false">
      <c r="A318" s="282"/>
      <c r="B318" s="280"/>
      <c r="C318" s="280"/>
      <c r="D318" s="280"/>
      <c r="E318" s="27"/>
      <c r="F318" s="31"/>
    </row>
    <row r="319" customFormat="false" ht="12.75" hidden="false" customHeight="false" outlineLevel="0" collapsed="false">
      <c r="A319" s="282"/>
      <c r="B319" s="280"/>
      <c r="C319" s="280"/>
      <c r="D319" s="280"/>
      <c r="E319" s="27"/>
      <c r="F319" s="31"/>
    </row>
    <row r="320" customFormat="false" ht="12.75" hidden="false" customHeight="false" outlineLevel="0" collapsed="false">
      <c r="A320" s="282"/>
      <c r="B320" s="313"/>
      <c r="C320" s="280"/>
      <c r="D320" s="280"/>
      <c r="E320" s="27"/>
      <c r="F320" s="31"/>
    </row>
    <row r="321" customFormat="false" ht="12.75" hidden="false" customHeight="false" outlineLevel="0" collapsed="false">
      <c r="A321" s="282"/>
      <c r="B321" s="313"/>
      <c r="C321" s="280"/>
      <c r="D321" s="280"/>
      <c r="E321" s="27"/>
      <c r="F321" s="31"/>
    </row>
    <row r="322" customFormat="false" ht="12.75" hidden="false" customHeight="false" outlineLevel="0" collapsed="false">
      <c r="A322" s="282"/>
      <c r="B322" s="313"/>
      <c r="C322" s="280"/>
      <c r="D322" s="291"/>
      <c r="E322" s="47"/>
      <c r="F322" s="38"/>
    </row>
    <row r="323" customFormat="false" ht="12.75" hidden="false" customHeight="false" outlineLevel="0" collapsed="false">
      <c r="A323" s="282"/>
      <c r="B323" s="280"/>
      <c r="C323" s="280"/>
      <c r="D323" s="280"/>
      <c r="E323" s="27"/>
      <c r="F323" s="31"/>
    </row>
    <row r="324" customFormat="false" ht="12.75" hidden="false" customHeight="false" outlineLevel="0" collapsed="false">
      <c r="A324" s="282"/>
      <c r="B324" s="280"/>
      <c r="C324" s="280"/>
      <c r="D324" s="292"/>
      <c r="E324" s="302"/>
      <c r="F324" s="31"/>
    </row>
    <row r="325" customFormat="false" ht="12.75" hidden="false" customHeight="false" outlineLevel="0" collapsed="false">
      <c r="A325" s="282"/>
      <c r="B325" s="280"/>
      <c r="C325" s="280"/>
      <c r="D325" s="294"/>
      <c r="E325" s="111"/>
      <c r="F325" s="295"/>
    </row>
    <row r="326" customFormat="false" ht="12.75" hidden="false" customHeight="false" outlineLevel="0" collapsed="false">
      <c r="A326" s="282"/>
      <c r="B326" s="280"/>
      <c r="C326" s="280"/>
      <c r="D326" s="294"/>
      <c r="E326" s="111"/>
      <c r="F326" s="295"/>
    </row>
    <row r="327" customFormat="false" ht="12.75" hidden="false" customHeight="false" outlineLevel="0" collapsed="false">
      <c r="A327" s="296"/>
      <c r="B327" s="280"/>
      <c r="C327" s="280"/>
      <c r="D327" s="315"/>
      <c r="E327" s="305"/>
      <c r="F327" s="298"/>
    </row>
    <row r="328" customFormat="false" ht="12.75" hidden="false" customHeight="false" outlineLevel="0" collapsed="false">
      <c r="A328" s="282"/>
      <c r="B328" s="280"/>
      <c r="C328" s="280"/>
      <c r="D328" s="294"/>
      <c r="E328" s="111"/>
      <c r="F328" s="298"/>
    </row>
    <row r="329" customFormat="false" ht="13.5" hidden="false" customHeight="false" outlineLevel="0" collapsed="false">
      <c r="A329" s="282"/>
      <c r="B329" s="280"/>
      <c r="C329" s="280"/>
      <c r="D329" s="316"/>
      <c r="E329" s="306"/>
      <c r="F329" s="298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31" activeCellId="3" sqref="D34 E41 D45 E3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43"/>
    </row>
    <row r="2" customFormat="false" ht="11.25" hidden="false" customHeight="false" outlineLevel="0" collapsed="false">
      <c r="A2" s="19"/>
      <c r="B2" s="18" t="s">
        <v>167</v>
      </c>
      <c r="C2" s="33"/>
      <c r="D2" s="18" t="s">
        <v>168</v>
      </c>
      <c r="E2" s="18"/>
      <c r="F2" s="100"/>
      <c r="I2" s="102"/>
      <c r="J2" s="19"/>
      <c r="K2" s="19"/>
      <c r="L2" s="103"/>
      <c r="M2" s="104" t="s">
        <v>124</v>
      </c>
      <c r="N2" s="103"/>
    </row>
    <row r="3" customFormat="false" ht="11.25" hidden="false" customHeight="false" outlineLevel="0" collapsed="false">
      <c r="A3" s="24" t="s">
        <v>113</v>
      </c>
      <c r="B3" s="24" t="s">
        <v>114</v>
      </c>
      <c r="C3" s="24" t="s">
        <v>115</v>
      </c>
      <c r="D3" s="24" t="s">
        <v>114</v>
      </c>
      <c r="E3" s="24" t="s">
        <v>115</v>
      </c>
      <c r="F3" s="101"/>
      <c r="G3" s="120"/>
      <c r="H3" s="102" t="s">
        <v>116</v>
      </c>
      <c r="I3" s="100" t="s">
        <v>114</v>
      </c>
      <c r="J3" s="100" t="s">
        <v>115</v>
      </c>
      <c r="K3" s="109" t="s">
        <v>117</v>
      </c>
      <c r="L3" s="104" t="s">
        <v>118</v>
      </c>
      <c r="M3" s="103" t="s">
        <v>119</v>
      </c>
    </row>
    <row r="4" customFormat="false" ht="11.25" hidden="false" customHeight="false" outlineLevel="0" collapsed="false">
      <c r="A4" s="146" t="n">
        <v>1</v>
      </c>
      <c r="B4" s="108" t="n">
        <v>36395</v>
      </c>
      <c r="C4" s="108" t="n">
        <v>35310</v>
      </c>
      <c r="D4" s="108" t="n">
        <v>30665</v>
      </c>
      <c r="E4" s="108" t="n">
        <v>30355</v>
      </c>
      <c r="F4" s="120" t="n">
        <f aca="false">+E4+C4-D4-B4</f>
        <v>-1395</v>
      </c>
      <c r="G4" s="120"/>
      <c r="H4" s="102"/>
      <c r="I4" s="30"/>
      <c r="J4" s="30"/>
      <c r="K4" s="30" t="n">
        <f aca="false">+J4-I4</f>
        <v>0</v>
      </c>
      <c r="L4" s="92"/>
      <c r="M4" s="111" t="n">
        <f aca="false">+L4*K4</f>
        <v>0</v>
      </c>
    </row>
    <row r="5" customFormat="false" ht="11.25" hidden="false" customHeight="false" outlineLevel="0" collapsed="false">
      <c r="A5" s="146" t="n">
        <v>2</v>
      </c>
      <c r="B5" s="108" t="n">
        <v>36109</v>
      </c>
      <c r="C5" s="108" t="n">
        <v>35970</v>
      </c>
      <c r="D5" s="108" t="n">
        <v>30760</v>
      </c>
      <c r="E5" s="108" t="n">
        <v>30926</v>
      </c>
      <c r="F5" s="120" t="n">
        <f aca="false">+E5+C5-D5-B5</f>
        <v>27</v>
      </c>
      <c r="G5" s="120"/>
      <c r="H5" s="102" t="n">
        <v>36951</v>
      </c>
      <c r="I5" s="108" t="n">
        <f aca="false">852047+812382</f>
        <v>1664429</v>
      </c>
      <c r="J5" s="30" t="n">
        <f aca="false">812593+855427</f>
        <v>1668020</v>
      </c>
      <c r="K5" s="30" t="n">
        <f aca="false">+J5-I5</f>
        <v>3591</v>
      </c>
      <c r="L5" s="92" t="n">
        <v>4.98</v>
      </c>
      <c r="M5" s="111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6" t="n">
        <v>3</v>
      </c>
      <c r="B6" s="108" t="n">
        <v>34935</v>
      </c>
      <c r="C6" s="108" t="n">
        <v>35968</v>
      </c>
      <c r="D6" s="108" t="n">
        <v>31613</v>
      </c>
      <c r="E6" s="108" t="n">
        <v>30922</v>
      </c>
      <c r="F6" s="120" t="n">
        <f aca="false">+E6+C6-D6-B6</f>
        <v>342</v>
      </c>
      <c r="G6" s="120"/>
      <c r="H6" s="102" t="n">
        <v>36982</v>
      </c>
      <c r="I6" s="108" t="n">
        <f aca="false">866737+903077</f>
        <v>1769814</v>
      </c>
      <c r="J6" s="30" t="n">
        <f aca="false">779668+1020165</f>
        <v>1799833</v>
      </c>
      <c r="K6" s="30" t="n">
        <f aca="false">+J6-I6</f>
        <v>30019</v>
      </c>
      <c r="L6" s="92" t="n">
        <v>4.87</v>
      </c>
      <c r="M6" s="111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6" t="n">
        <v>4</v>
      </c>
      <c r="B7" s="108" t="n">
        <v>35129</v>
      </c>
      <c r="C7" s="108" t="n">
        <v>38500</v>
      </c>
      <c r="D7" s="108" t="n">
        <v>32705</v>
      </c>
      <c r="E7" s="108" t="n">
        <v>33450</v>
      </c>
      <c r="F7" s="120" t="n">
        <f aca="false">+E7+C7-D7-B7</f>
        <v>4116</v>
      </c>
      <c r="G7" s="120"/>
      <c r="H7" s="102" t="n">
        <v>37012</v>
      </c>
      <c r="I7" s="108" t="n">
        <f aca="false">1207715+865481</f>
        <v>2073196</v>
      </c>
      <c r="J7" s="30" t="n">
        <f aca="false">1288311+806829</f>
        <v>2095140</v>
      </c>
      <c r="K7" s="30" t="n">
        <f aca="false">+J7-I7</f>
        <v>21944</v>
      </c>
      <c r="L7" s="92" t="n">
        <v>3.82</v>
      </c>
      <c r="M7" s="111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6" t="n">
        <v>5</v>
      </c>
      <c r="B8" s="108" t="n">
        <v>36992</v>
      </c>
      <c r="C8" s="108" t="n">
        <v>38491</v>
      </c>
      <c r="D8" s="108" t="n">
        <v>29785</v>
      </c>
      <c r="E8" s="108" t="n">
        <v>33441</v>
      </c>
      <c r="F8" s="120" t="n">
        <f aca="false">+E8+C8-D8-B8</f>
        <v>5155</v>
      </c>
      <c r="G8" s="120"/>
      <c r="H8" s="102" t="n">
        <v>37043</v>
      </c>
      <c r="I8" s="108" t="n">
        <f aca="false">1282986+970627</f>
        <v>2253613</v>
      </c>
      <c r="J8" s="30" t="n">
        <f aca="false">1274746+1021795</f>
        <v>2296541</v>
      </c>
      <c r="K8" s="30" t="n">
        <f aca="false">+J8-I8</f>
        <v>42928</v>
      </c>
      <c r="L8" s="92" t="n">
        <v>3.2</v>
      </c>
      <c r="M8" s="111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6" t="n">
        <v>6</v>
      </c>
      <c r="B9" s="108" t="n">
        <v>37536</v>
      </c>
      <c r="C9" s="108" t="n">
        <v>31999</v>
      </c>
      <c r="D9" s="108" t="n">
        <v>30106</v>
      </c>
      <c r="E9" s="108" t="n">
        <v>29000</v>
      </c>
      <c r="F9" s="120" t="n">
        <f aca="false">+E9+C9-D9-B9</f>
        <v>-6643</v>
      </c>
      <c r="G9" s="120"/>
      <c r="H9" s="102" t="n">
        <v>37073</v>
      </c>
      <c r="I9" s="108" t="n">
        <f aca="false">1387865+940912</f>
        <v>2328777</v>
      </c>
      <c r="J9" s="30" t="n">
        <f aca="false">956573+1409652</f>
        <v>2366225</v>
      </c>
      <c r="K9" s="30" t="n">
        <f aca="false">+J9-I9</f>
        <v>37448</v>
      </c>
      <c r="L9" s="92" t="n">
        <v>2.77</v>
      </c>
      <c r="M9" s="111" t="n">
        <f aca="false">+L9*K9</f>
        <v>103730.96</v>
      </c>
      <c r="N9" s="79" t="n">
        <f aca="false">43380.97+60349.99</f>
        <v>103730.96</v>
      </c>
    </row>
    <row r="10" customFormat="false" ht="11.25" hidden="false" customHeight="false" outlineLevel="0" collapsed="false">
      <c r="A10" s="146" t="n">
        <v>7</v>
      </c>
      <c r="B10" s="108" t="n">
        <v>30804</v>
      </c>
      <c r="C10" s="108" t="n">
        <v>36000</v>
      </c>
      <c r="D10" s="108" t="n">
        <v>34261</v>
      </c>
      <c r="E10" s="108" t="n">
        <v>30950</v>
      </c>
      <c r="F10" s="120" t="n">
        <f aca="false">+E10+C10-D10-B10</f>
        <v>1885</v>
      </c>
      <c r="G10" s="120"/>
      <c r="H10" s="102"/>
      <c r="I10" s="30"/>
      <c r="J10" s="30"/>
      <c r="K10" s="30"/>
      <c r="L10" s="92"/>
      <c r="M10" s="79"/>
      <c r="N10" s="79" t="n">
        <f aca="false">SUM(N5:N9)</f>
        <v>489002.35</v>
      </c>
    </row>
    <row r="11" customFormat="false" ht="11.25" hidden="false" customHeight="false" outlineLevel="0" collapsed="false">
      <c r="A11" s="146" t="n">
        <v>8</v>
      </c>
      <c r="B11" s="108" t="n">
        <v>28957</v>
      </c>
      <c r="C11" s="108" t="n">
        <v>36000</v>
      </c>
      <c r="D11" s="108" t="n">
        <v>32502</v>
      </c>
      <c r="E11" s="108" t="n">
        <v>30950</v>
      </c>
      <c r="F11" s="120" t="n">
        <f aca="false">+E11+C11-D11-B11</f>
        <v>5491</v>
      </c>
      <c r="G11" s="120"/>
      <c r="H11" s="102"/>
      <c r="I11" s="30"/>
      <c r="J11" s="30"/>
      <c r="K11" s="79"/>
      <c r="L11" s="92"/>
      <c r="M11" s="79"/>
      <c r="N11" s="79" t="n">
        <f aca="false">SUM(M5:M9)</f>
        <v>489002.35</v>
      </c>
    </row>
    <row r="12" customFormat="false" ht="11.25" hidden="false" customHeight="false" outlineLevel="0" collapsed="false">
      <c r="A12" s="146" t="n">
        <v>9</v>
      </c>
      <c r="B12" s="108" t="n">
        <v>33886</v>
      </c>
      <c r="C12" s="108" t="n">
        <v>35956</v>
      </c>
      <c r="D12" s="108" t="n">
        <v>29962</v>
      </c>
      <c r="E12" s="108" t="n">
        <v>30912</v>
      </c>
      <c r="F12" s="120" t="n">
        <f aca="false">+E12+C12-D12-B12</f>
        <v>3020</v>
      </c>
      <c r="G12" s="120"/>
      <c r="H12" s="102"/>
      <c r="I12" s="108"/>
      <c r="J12" s="108"/>
      <c r="K12" s="117"/>
      <c r="L12" s="118"/>
      <c r="M12" s="117"/>
    </row>
    <row r="13" customFormat="false" ht="11.25" hidden="false" customHeight="false" outlineLevel="0" collapsed="false">
      <c r="A13" s="146" t="n">
        <v>10</v>
      </c>
      <c r="B13" s="108" t="n">
        <v>33528</v>
      </c>
      <c r="C13" s="108" t="n">
        <v>32935</v>
      </c>
      <c r="D13" s="108" t="n">
        <v>31738</v>
      </c>
      <c r="E13" s="108" t="n">
        <v>33878</v>
      </c>
      <c r="F13" s="120" t="n">
        <f aca="false">+E13+C13-D13-B13</f>
        <v>1547</v>
      </c>
      <c r="G13" s="120"/>
      <c r="I13" s="108"/>
      <c r="J13" s="108"/>
      <c r="K13" s="108" t="n">
        <f aca="false">SUM(K4:K12)</f>
        <v>135930</v>
      </c>
      <c r="L13" s="118"/>
      <c r="M13" s="117" t="n">
        <f aca="false">SUM(M4:M12)</f>
        <v>489002.35</v>
      </c>
    </row>
    <row r="14" customFormat="false" ht="11.25" hidden="false" customHeight="false" outlineLevel="0" collapsed="false">
      <c r="A14" s="146" t="n">
        <v>11</v>
      </c>
      <c r="B14" s="108" t="n">
        <v>33647</v>
      </c>
      <c r="C14" s="108" t="n">
        <v>35767</v>
      </c>
      <c r="D14" s="108" t="n">
        <v>29418</v>
      </c>
      <c r="E14" s="108" t="n">
        <v>30749</v>
      </c>
      <c r="F14" s="120" t="n">
        <f aca="false">+E14+C14-D14-B14</f>
        <v>3451</v>
      </c>
      <c r="G14" s="120"/>
    </row>
    <row r="15" customFormat="false" ht="11.25" hidden="false" customHeight="false" outlineLevel="0" collapsed="false">
      <c r="A15" s="146" t="n">
        <v>12</v>
      </c>
      <c r="B15" s="108" t="n">
        <v>33412</v>
      </c>
      <c r="C15" s="108" t="n">
        <v>30764</v>
      </c>
      <c r="D15" s="108" t="n">
        <v>30321</v>
      </c>
      <c r="E15" s="108" t="n">
        <v>30269</v>
      </c>
      <c r="F15" s="120" t="n">
        <f aca="false">+E15+C15-D15-B15</f>
        <v>-2700</v>
      </c>
      <c r="G15" s="120"/>
    </row>
    <row r="16" customFormat="false" ht="11.25" hidden="false" customHeight="false" outlineLevel="0" collapsed="false">
      <c r="A16" s="146" t="n">
        <v>13</v>
      </c>
      <c r="B16" s="108" t="n">
        <v>33711</v>
      </c>
      <c r="C16" s="108" t="n">
        <v>30302</v>
      </c>
      <c r="D16" s="108" t="n">
        <v>29868</v>
      </c>
      <c r="E16" s="108" t="n">
        <v>30731</v>
      </c>
      <c r="F16" s="120" t="n">
        <f aca="false">+E16+C16-D16-B16</f>
        <v>-2546</v>
      </c>
      <c r="G16" s="120"/>
    </row>
    <row r="17" customFormat="false" ht="11.25" hidden="false" customHeight="false" outlineLevel="0" collapsed="false">
      <c r="A17" s="146" t="n">
        <v>14</v>
      </c>
      <c r="B17" s="108" t="n">
        <v>34265</v>
      </c>
      <c r="C17" s="108" t="n">
        <v>30374</v>
      </c>
      <c r="D17" s="108" t="n">
        <v>30207</v>
      </c>
      <c r="E17" s="108" t="n">
        <v>30804</v>
      </c>
      <c r="F17" s="120" t="n">
        <f aca="false">+E17+C17-D17-B17</f>
        <v>-3294</v>
      </c>
      <c r="G17" s="120"/>
    </row>
    <row r="18" customFormat="false" ht="11.25" hidden="false" customHeight="false" outlineLevel="0" collapsed="false">
      <c r="A18" s="146" t="n">
        <v>15</v>
      </c>
      <c r="B18" s="108" t="n">
        <v>34973</v>
      </c>
      <c r="C18" s="108" t="n">
        <v>30417</v>
      </c>
      <c r="D18" s="108" t="n">
        <v>27096</v>
      </c>
      <c r="E18" s="108" t="n">
        <v>30847</v>
      </c>
      <c r="F18" s="120" t="n">
        <f aca="false">+E18+C18-D18-B18</f>
        <v>-805</v>
      </c>
      <c r="G18" s="120"/>
    </row>
    <row r="19" customFormat="false" ht="11.25" hidden="false" customHeight="false" outlineLevel="0" collapsed="false">
      <c r="A19" s="146" t="n">
        <v>16</v>
      </c>
      <c r="B19" s="108" t="n">
        <v>33442</v>
      </c>
      <c r="C19" s="108" t="n">
        <v>30517</v>
      </c>
      <c r="D19" s="108" t="n">
        <v>31103</v>
      </c>
      <c r="E19" s="108" t="n">
        <v>30950</v>
      </c>
      <c r="F19" s="120" t="n">
        <f aca="false">+E19+C19-D19-B19</f>
        <v>-3078</v>
      </c>
      <c r="G19" s="120"/>
    </row>
    <row r="20" customFormat="false" ht="11.25" hidden="false" customHeight="false" outlineLevel="0" collapsed="false">
      <c r="A20" s="146" t="n">
        <v>17</v>
      </c>
      <c r="B20" s="108" t="n">
        <v>33295</v>
      </c>
      <c r="C20" s="108" t="n">
        <v>30517</v>
      </c>
      <c r="D20" s="108" t="n">
        <v>28744</v>
      </c>
      <c r="E20" s="108" t="n">
        <v>30950</v>
      </c>
      <c r="F20" s="120" t="n">
        <f aca="false">+E20+C20-D20-B20</f>
        <v>-572</v>
      </c>
      <c r="G20" s="120"/>
    </row>
    <row r="21" customFormat="false" ht="11.25" hidden="false" customHeight="false" outlineLevel="0" collapsed="false">
      <c r="A21" s="146" t="n">
        <v>18</v>
      </c>
      <c r="B21" s="108" t="n">
        <v>37922</v>
      </c>
      <c r="C21" s="108" t="n">
        <v>30402</v>
      </c>
      <c r="D21" s="108" t="n">
        <v>29031</v>
      </c>
      <c r="E21" s="108" t="n">
        <v>30834</v>
      </c>
      <c r="F21" s="120" t="n">
        <f aca="false">+E21+C21-D21-B21</f>
        <v>-5717</v>
      </c>
      <c r="G21" s="120"/>
    </row>
    <row r="22" customFormat="false" ht="11.25" hidden="false" customHeight="false" outlineLevel="0" collapsed="false">
      <c r="A22" s="146" t="n">
        <v>19</v>
      </c>
      <c r="B22" s="108" t="n">
        <v>37429</v>
      </c>
      <c r="C22" s="108" t="n">
        <v>30402</v>
      </c>
      <c r="D22" s="108" t="n">
        <v>29422</v>
      </c>
      <c r="E22" s="108" t="n">
        <v>30834</v>
      </c>
      <c r="F22" s="120" t="n">
        <f aca="false">+E22+C22-D22-B22</f>
        <v>-5615</v>
      </c>
      <c r="G22" s="120"/>
    </row>
    <row r="23" customFormat="false" ht="11.25" hidden="false" customHeight="false" outlineLevel="0" collapsed="false">
      <c r="A23" s="146" t="n">
        <v>20</v>
      </c>
      <c r="B23" s="108" t="n">
        <v>35688</v>
      </c>
      <c r="C23" s="108" t="n">
        <v>30402</v>
      </c>
      <c r="D23" s="108" t="n">
        <v>28474</v>
      </c>
      <c r="E23" s="108" t="n">
        <v>30834</v>
      </c>
      <c r="F23" s="120" t="n">
        <f aca="false">+E23+C23-D23-B23</f>
        <v>-2926</v>
      </c>
      <c r="G23" s="120"/>
    </row>
    <row r="24" customFormat="false" ht="11.25" hidden="false" customHeight="false" outlineLevel="0" collapsed="false">
      <c r="A24" s="146" t="n">
        <v>21</v>
      </c>
      <c r="B24" s="108" t="n">
        <v>36035</v>
      </c>
      <c r="C24" s="108" t="n">
        <v>30517</v>
      </c>
      <c r="D24" s="108" t="n">
        <v>27197</v>
      </c>
      <c r="E24" s="108" t="n">
        <v>30950</v>
      </c>
      <c r="F24" s="120" t="n">
        <f aca="false">+E24+C24-D24-B24</f>
        <v>-1765</v>
      </c>
      <c r="G24" s="120"/>
    </row>
    <row r="25" customFormat="false" ht="11.25" hidden="false" customHeight="false" outlineLevel="0" collapsed="false">
      <c r="A25" s="146" t="n">
        <v>22</v>
      </c>
      <c r="B25" s="108" t="n">
        <v>35506</v>
      </c>
      <c r="C25" s="108" t="n">
        <v>30517</v>
      </c>
      <c r="D25" s="108" t="n">
        <v>28224</v>
      </c>
      <c r="E25" s="108" t="n">
        <v>30949</v>
      </c>
      <c r="F25" s="120" t="n">
        <f aca="false">+E25+C25-D25-B25</f>
        <v>-2264</v>
      </c>
      <c r="G25" s="120"/>
    </row>
    <row r="26" customFormat="false" ht="11.25" hidden="false" customHeight="false" outlineLevel="0" collapsed="false">
      <c r="A26" s="146" t="n">
        <v>23</v>
      </c>
      <c r="B26" s="108" t="n">
        <v>36635</v>
      </c>
      <c r="C26" s="108" t="n">
        <v>30517</v>
      </c>
      <c r="D26" s="108" t="n">
        <v>27453</v>
      </c>
      <c r="E26" s="108" t="n">
        <v>30950</v>
      </c>
      <c r="F26" s="120" t="n">
        <f aca="false">+E26+C26-D26-B26</f>
        <v>-2621</v>
      </c>
    </row>
    <row r="27" customFormat="false" ht="11.25" hidden="false" customHeight="false" outlineLevel="0" collapsed="false">
      <c r="A27" s="146" t="n">
        <v>24</v>
      </c>
      <c r="B27" s="108" t="n">
        <v>36673</v>
      </c>
      <c r="C27" s="108" t="n">
        <v>30517</v>
      </c>
      <c r="D27" s="108" t="n">
        <v>30643</v>
      </c>
      <c r="E27" s="108" t="n">
        <v>30950</v>
      </c>
      <c r="F27" s="120" t="n">
        <f aca="false">+E27+C27-D27-B27</f>
        <v>-5849</v>
      </c>
    </row>
    <row r="28" customFormat="false" ht="11.25" hidden="false" customHeight="false" outlineLevel="0" collapsed="false">
      <c r="A28" s="146" t="n">
        <v>25</v>
      </c>
      <c r="B28" s="108" t="n">
        <v>33829</v>
      </c>
      <c r="C28" s="108" t="n">
        <v>30517</v>
      </c>
      <c r="D28" s="108" t="n">
        <v>27379</v>
      </c>
      <c r="E28" s="108" t="n">
        <v>30950</v>
      </c>
      <c r="F28" s="120" t="n">
        <f aca="false">+E28+C28-D28-B28</f>
        <v>259</v>
      </c>
    </row>
    <row r="29" customFormat="false" ht="11.25" hidden="false" customHeight="false" outlineLevel="0" collapsed="false">
      <c r="A29" s="146" t="n">
        <v>26</v>
      </c>
      <c r="B29" s="108" t="n">
        <v>35973</v>
      </c>
      <c r="C29" s="108" t="n">
        <v>30517</v>
      </c>
      <c r="D29" s="108" t="n">
        <v>29256</v>
      </c>
      <c r="E29" s="108" t="n">
        <v>30950</v>
      </c>
      <c r="F29" s="120" t="n">
        <f aca="false">+E29+C29-D29-B29</f>
        <v>-3762</v>
      </c>
    </row>
    <row r="30" customFormat="false" ht="11.25" hidden="false" customHeight="false" outlineLevel="0" collapsed="false">
      <c r="A30" s="146" t="n">
        <v>27</v>
      </c>
      <c r="B30" s="108" t="n">
        <v>30842</v>
      </c>
      <c r="C30" s="108" t="n">
        <v>27017</v>
      </c>
      <c r="D30" s="108" t="n">
        <v>31434</v>
      </c>
      <c r="E30" s="108" t="n">
        <v>34450</v>
      </c>
      <c r="F30" s="120" t="n">
        <f aca="false">+E30+C30-D30-B30</f>
        <v>-809</v>
      </c>
    </row>
    <row r="31" customFormat="false" ht="11.25" hidden="false" customHeight="false" outlineLevel="0" collapsed="false">
      <c r="A31" s="146" t="n">
        <v>28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1.25" hidden="false" customHeight="false" outlineLevel="0" collapsed="false">
      <c r="A34" s="146" t="n">
        <v>31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1.25" hidden="false" customHeight="false" outlineLevel="0" collapsed="false">
      <c r="A35" s="146"/>
      <c r="B35" s="108" t="n">
        <f aca="false">SUM(B4:B34)</f>
        <v>937548</v>
      </c>
      <c r="C35" s="108" t="n">
        <f aca="false">SUM(C4:C34)</f>
        <v>877112</v>
      </c>
      <c r="D35" s="108" t="n">
        <f aca="false">SUM(D4:D34)</f>
        <v>809367</v>
      </c>
      <c r="E35" s="108" t="n">
        <f aca="false">SUM(E4:E34)</f>
        <v>842735</v>
      </c>
      <c r="F35" s="108" t="n">
        <f aca="false">+E35-D35+C35-B35</f>
        <v>-27068</v>
      </c>
    </row>
    <row r="36" customFormat="false" ht="11.25" hidden="false" customHeight="false" outlineLevel="0" collapsed="false">
      <c r="A36" s="149"/>
      <c r="C36" s="30" t="n">
        <f aca="false">+C35-B35</f>
        <v>-60436</v>
      </c>
      <c r="D36" s="30"/>
      <c r="E36" s="30" t="n">
        <f aca="false">+E35-D35</f>
        <v>33368</v>
      </c>
      <c r="F36" s="16"/>
    </row>
    <row r="37" customFormat="false" ht="11.25" hidden="false" customHeight="false" outlineLevel="0" collapsed="false">
      <c r="C37" s="79" t="n">
        <f aca="false">+summary!H4</f>
        <v>2.81</v>
      </c>
      <c r="D37" s="79"/>
      <c r="E37" s="79" t="n">
        <f aca="false">+C37</f>
        <v>2.81</v>
      </c>
      <c r="F37" s="108"/>
    </row>
    <row r="38" customFormat="false" ht="11.25" hidden="false" customHeight="false" outlineLevel="0" collapsed="false">
      <c r="C38" s="151" t="n">
        <f aca="false">+C37*C36</f>
        <v>-169825.16</v>
      </c>
      <c r="D38" s="16"/>
      <c r="E38" s="151" t="n">
        <f aca="false">+E37*E36</f>
        <v>93764.08</v>
      </c>
      <c r="F38" s="150" t="n">
        <f aca="false">+E38+C38</f>
        <v>-76061.08</v>
      </c>
    </row>
    <row r="39" customFormat="false" ht="11.25" hidden="false" customHeight="false" outlineLevel="0" collapsed="false">
      <c r="C39" s="16"/>
      <c r="D39" s="16"/>
      <c r="E39" s="16"/>
      <c r="F39" s="108"/>
    </row>
    <row r="40" customFormat="false" ht="11.25" hidden="false" customHeight="false" outlineLevel="0" collapsed="false">
      <c r="A40" s="152" t="n">
        <v>37103</v>
      </c>
      <c r="C40" s="317" t="n">
        <v>612678.27</v>
      </c>
      <c r="D40" s="184"/>
      <c r="E40" s="317" t="n">
        <v>0</v>
      </c>
      <c r="F40" s="317" t="n">
        <f aca="false">+E40+C40</f>
        <v>612678.27</v>
      </c>
      <c r="G40" s="120"/>
    </row>
    <row r="41" customFormat="false" ht="11.25" hidden="false" customHeight="false" outlineLevel="0" collapsed="false">
      <c r="A41" s="152" t="n">
        <v>37130</v>
      </c>
      <c r="C41" s="184" t="n">
        <f aca="false">+C40+C38</f>
        <v>442853.11</v>
      </c>
      <c r="D41" s="184"/>
      <c r="E41" s="184" t="n">
        <f aca="false">+E40+E38</f>
        <v>93764.08</v>
      </c>
      <c r="F41" s="184" t="n">
        <f aca="false">+E41+C41</f>
        <v>536617.19</v>
      </c>
      <c r="G41" s="120"/>
    </row>
    <row r="42" customFormat="false" ht="11.25" hidden="false" customHeight="false" outlineLevel="0" collapsed="false">
      <c r="G42" s="120"/>
    </row>
    <row r="43" customFormat="false" ht="11.25" hidden="false" customHeight="false" outlineLevel="0" collapsed="false">
      <c r="A43" s="146"/>
      <c r="B43" s="108"/>
      <c r="C43" s="108"/>
      <c r="D43" s="108"/>
      <c r="E43" s="108"/>
      <c r="F43" s="117"/>
      <c r="G43" s="120"/>
    </row>
    <row r="44" customFormat="false" ht="12.75" hidden="false" customHeight="false" outlineLevel="0" collapsed="false">
      <c r="A44" s="146"/>
      <c r="B44" s="108"/>
      <c r="C44" s="318"/>
      <c r="D44" s="108"/>
      <c r="E44" s="108"/>
      <c r="F44" s="108"/>
      <c r="G44" s="120"/>
    </row>
    <row r="45" customFormat="false" ht="11.25" hidden="false" customHeight="false" outlineLevel="0" collapsed="false">
      <c r="A45" s="9" t="s">
        <v>125</v>
      </c>
      <c r="E45" s="108"/>
      <c r="F45" s="108"/>
      <c r="G45" s="120"/>
    </row>
    <row r="46" customFormat="false" ht="11.25" hidden="false" customHeight="false" outlineLevel="0" collapsed="false">
      <c r="A46" s="124" t="n">
        <f aca="false">+A40</f>
        <v>37103</v>
      </c>
      <c r="D46" s="301" t="n">
        <v>95131</v>
      </c>
      <c r="E46" s="108"/>
      <c r="F46" s="108"/>
      <c r="G46" s="120"/>
    </row>
    <row r="47" customFormat="false" ht="11.25" hidden="false" customHeight="false" outlineLevel="0" collapsed="false">
      <c r="A47" s="124" t="n">
        <f aca="false">+A41</f>
        <v>37130</v>
      </c>
      <c r="D47" s="37" t="n">
        <f aca="false">+F35</f>
        <v>-27068</v>
      </c>
      <c r="E47" s="108"/>
      <c r="F47" s="108"/>
      <c r="G47" s="120"/>
    </row>
    <row r="48" customFormat="false" ht="11.25" hidden="false" customHeight="false" outlineLevel="0" collapsed="false">
      <c r="D48" s="30" t="n">
        <f aca="false">+D47+D46</f>
        <v>68063</v>
      </c>
      <c r="E48" s="108"/>
      <c r="F48" s="108"/>
      <c r="G48" s="120"/>
    </row>
    <row r="49" customFormat="false" ht="11.25" hidden="false" customHeight="false" outlineLevel="0" collapsed="false">
      <c r="A49" s="146"/>
      <c r="B49" s="108"/>
      <c r="C49" s="108"/>
      <c r="D49" s="108"/>
      <c r="E49" s="108"/>
      <c r="F49" s="108"/>
      <c r="G49" s="120"/>
    </row>
    <row r="50" customFormat="false" ht="11.25" hidden="false" customHeight="false" outlineLevel="0" collapsed="false">
      <c r="A50" s="146"/>
      <c r="B50" s="108"/>
      <c r="C50" s="108"/>
      <c r="D50" s="108"/>
      <c r="E50" s="108"/>
      <c r="F50" s="108"/>
      <c r="G50" s="120"/>
    </row>
    <row r="51" customFormat="false" ht="11.25" hidden="false" customHeight="false" outlineLevel="0" collapsed="false">
      <c r="A51" s="146"/>
      <c r="B51" s="108"/>
      <c r="C51" s="108"/>
      <c r="D51" s="108"/>
      <c r="E51" s="108"/>
      <c r="F51" s="108"/>
      <c r="G51" s="120"/>
    </row>
    <row r="52" customFormat="false" ht="11.25" hidden="false" customHeight="false" outlineLevel="0" collapsed="false">
      <c r="A52" s="146"/>
      <c r="B52" s="108"/>
      <c r="C52" s="108"/>
      <c r="D52" s="108"/>
      <c r="E52" s="108"/>
      <c r="F52" s="108"/>
      <c r="G52" s="120"/>
    </row>
    <row r="53" customFormat="false" ht="11.25" hidden="false" customHeight="false" outlineLevel="0" collapsed="false">
      <c r="A53" s="146"/>
      <c r="B53" s="108"/>
      <c r="C53" s="108"/>
      <c r="D53" s="108"/>
      <c r="E53" s="108"/>
      <c r="F53" s="108"/>
      <c r="G53" s="120"/>
    </row>
    <row r="54" customFormat="false" ht="11.25" hidden="false" customHeight="false" outlineLevel="0" collapsed="false">
      <c r="A54" s="146"/>
      <c r="B54" s="108"/>
      <c r="C54" s="108"/>
      <c r="D54" s="108"/>
      <c r="E54" s="108"/>
      <c r="F54" s="108"/>
      <c r="G54" s="120"/>
    </row>
    <row r="55" customFormat="false" ht="11.25" hidden="false" customHeight="false" outlineLevel="0" collapsed="false">
      <c r="A55" s="146"/>
      <c r="B55" s="108"/>
      <c r="C55" s="108"/>
      <c r="D55" s="108"/>
      <c r="E55" s="108"/>
      <c r="F55" s="108"/>
      <c r="G55" s="120"/>
    </row>
    <row r="56" customFormat="false" ht="11.25" hidden="false" customHeight="false" outlineLevel="0" collapsed="false">
      <c r="A56" s="146"/>
      <c r="B56" s="108"/>
      <c r="C56" s="108"/>
      <c r="D56" s="108"/>
      <c r="E56" s="108"/>
      <c r="F56" s="108"/>
      <c r="G56" s="120"/>
    </row>
    <row r="57" customFormat="false" ht="11.25" hidden="false" customHeight="false" outlineLevel="0" collapsed="false">
      <c r="A57" s="146"/>
      <c r="B57" s="108"/>
      <c r="C57" s="108"/>
      <c r="D57" s="108"/>
      <c r="E57" s="108"/>
      <c r="F57" s="108"/>
      <c r="G57" s="120"/>
    </row>
    <row r="58" customFormat="false" ht="11.25" hidden="false" customHeight="false" outlineLevel="0" collapsed="false">
      <c r="A58" s="146"/>
      <c r="B58" s="108"/>
      <c r="C58" s="108"/>
      <c r="D58" s="108"/>
      <c r="E58" s="108"/>
      <c r="F58" s="108"/>
      <c r="G58" s="120"/>
    </row>
    <row r="59" customFormat="false" ht="11.25" hidden="false" customHeight="false" outlineLevel="0" collapsed="false">
      <c r="A59" s="146"/>
      <c r="B59" s="108"/>
      <c r="C59" s="108"/>
      <c r="D59" s="108"/>
      <c r="E59" s="108"/>
      <c r="F59" s="108"/>
      <c r="G59" s="120"/>
    </row>
    <row r="60" customFormat="false" ht="11.25" hidden="false" customHeight="false" outlineLevel="0" collapsed="false">
      <c r="A60" s="146"/>
      <c r="B60" s="108"/>
      <c r="C60" s="108"/>
      <c r="D60" s="108"/>
      <c r="E60" s="108"/>
      <c r="F60" s="108"/>
      <c r="G60" s="120"/>
    </row>
    <row r="61" customFormat="false" ht="11.25" hidden="false" customHeight="false" outlineLevel="0" collapsed="false">
      <c r="A61" s="146"/>
      <c r="B61" s="108"/>
      <c r="C61" s="108"/>
      <c r="D61" s="108"/>
      <c r="E61" s="108"/>
      <c r="F61" s="108"/>
      <c r="G61" s="120"/>
    </row>
    <row r="62" customFormat="false" ht="11.25" hidden="false" customHeight="false" outlineLevel="0" collapsed="false">
      <c r="A62" s="146"/>
      <c r="B62" s="108"/>
      <c r="C62" s="108"/>
      <c r="D62" s="108"/>
      <c r="E62" s="108"/>
      <c r="F62" s="108"/>
      <c r="G62" s="120"/>
    </row>
    <row r="63" customFormat="false" ht="11.25" hidden="false" customHeight="false" outlineLevel="0" collapsed="false">
      <c r="A63" s="146"/>
      <c r="B63" s="108"/>
      <c r="C63" s="108"/>
      <c r="D63" s="108"/>
      <c r="E63" s="108"/>
      <c r="F63" s="108"/>
    </row>
    <row r="64" customFormat="false" ht="11.25" hidden="false" customHeight="false" outlineLevel="0" collapsed="false">
      <c r="A64" s="146"/>
      <c r="B64" s="108"/>
      <c r="C64" s="108"/>
      <c r="D64" s="108"/>
      <c r="E64" s="108"/>
      <c r="F64" s="108"/>
    </row>
    <row r="65" customFormat="false" ht="11.25" hidden="false" customHeight="false" outlineLevel="0" collapsed="false">
      <c r="A65" s="146"/>
      <c r="B65" s="108"/>
      <c r="C65" s="108"/>
      <c r="D65" s="108"/>
      <c r="E65" s="108"/>
      <c r="F65" s="108"/>
    </row>
    <row r="66" customFormat="false" ht="11.25" hidden="false" customHeight="false" outlineLevel="0" collapsed="false">
      <c r="A66" s="146"/>
      <c r="B66" s="108"/>
      <c r="C66" s="108"/>
      <c r="D66" s="108"/>
      <c r="E66" s="108"/>
      <c r="F66" s="108"/>
    </row>
    <row r="67" customFormat="false" ht="11.25" hidden="false" customHeight="false" outlineLevel="0" collapsed="false">
      <c r="A67" s="146"/>
      <c r="B67" s="108"/>
      <c r="C67" s="108"/>
      <c r="D67" s="108"/>
      <c r="E67" s="108"/>
      <c r="F67" s="108"/>
    </row>
    <row r="68" customFormat="false" ht="11.25" hidden="false" customHeight="false" outlineLevel="0" collapsed="false">
      <c r="A68" s="146"/>
      <c r="B68" s="108"/>
      <c r="C68" s="108"/>
      <c r="D68" s="108"/>
      <c r="E68" s="108"/>
      <c r="F68" s="108"/>
    </row>
    <row r="69" customFormat="false" ht="11.25" hidden="false" customHeight="false" outlineLevel="0" collapsed="false">
      <c r="A69" s="146"/>
      <c r="B69" s="108"/>
      <c r="C69" s="108"/>
      <c r="D69" s="108"/>
      <c r="E69" s="108"/>
      <c r="F69" s="108"/>
    </row>
    <row r="70" customFormat="false" ht="11.25" hidden="false" customHeight="false" outlineLevel="0" collapsed="false">
      <c r="A70" s="146"/>
      <c r="B70" s="108"/>
      <c r="C70" s="108"/>
      <c r="D70" s="108"/>
      <c r="E70" s="108"/>
      <c r="F70" s="108"/>
    </row>
    <row r="71" customFormat="false" ht="11.25" hidden="false" customHeight="false" outlineLevel="0" collapsed="false">
      <c r="A71" s="146"/>
      <c r="B71" s="108"/>
      <c r="C71" s="108"/>
      <c r="D71" s="108"/>
      <c r="E71" s="108"/>
      <c r="F71" s="108"/>
    </row>
    <row r="72" customFormat="false" ht="11.25" hidden="false" customHeight="false" outlineLevel="0" collapsed="false">
      <c r="A72" s="149"/>
      <c r="C72" s="16"/>
      <c r="D72" s="16"/>
      <c r="E72" s="63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20"/>
      <c r="E74" s="120"/>
    </row>
    <row r="75" customFormat="false" ht="11.25" hidden="false" customHeight="false" outlineLevel="0" collapsed="false">
      <c r="C75" s="79"/>
      <c r="E75" s="79"/>
    </row>
    <row r="76" customFormat="false" ht="11.25" hidden="false" customHeight="false" outlineLevel="0" collapsed="false">
      <c r="C76" s="79"/>
    </row>
    <row r="80" customFormat="false" ht="11.25" hidden="false" customHeight="false" outlineLevel="0" collapsed="false">
      <c r="A80" s="319"/>
    </row>
    <row r="81" customFormat="false" ht="11.25" hidden="false" customHeight="false" outlineLevel="0" collapsed="false">
      <c r="A81" s="19"/>
      <c r="B81" s="19"/>
      <c r="D81" s="100"/>
      <c r="E81" s="100"/>
      <c r="F81" s="100"/>
    </row>
    <row r="82" customFormat="false" ht="11.25" hidden="false" customHeight="false" outlineLevel="0" collapsed="false">
      <c r="A82" s="24"/>
      <c r="B82" s="101"/>
      <c r="C82" s="101"/>
      <c r="D82" s="101"/>
      <c r="E82" s="101"/>
      <c r="F82" s="101"/>
    </row>
    <row r="83" customFormat="false" ht="11.25" hidden="false" customHeight="false" outlineLevel="0" collapsed="false">
      <c r="A83" s="146"/>
      <c r="B83" s="108"/>
      <c r="C83" s="108"/>
      <c r="D83" s="108"/>
      <c r="E83" s="108"/>
      <c r="F83" s="108"/>
    </row>
    <row r="84" customFormat="false" ht="11.25" hidden="false" customHeight="false" outlineLevel="0" collapsed="false">
      <c r="A84" s="146"/>
      <c r="B84" s="108"/>
      <c r="C84" s="108"/>
      <c r="D84" s="108"/>
      <c r="E84" s="108"/>
      <c r="F84" s="108"/>
    </row>
    <row r="85" customFormat="false" ht="11.25" hidden="false" customHeight="false" outlineLevel="0" collapsed="false">
      <c r="A85" s="146"/>
      <c r="B85" s="108"/>
      <c r="C85" s="108"/>
      <c r="D85" s="108"/>
      <c r="E85" s="108"/>
      <c r="F85" s="108"/>
    </row>
    <row r="86" customFormat="false" ht="11.25" hidden="false" customHeight="false" outlineLevel="0" collapsed="false">
      <c r="A86" s="146"/>
      <c r="B86" s="108"/>
      <c r="C86" s="108"/>
      <c r="D86" s="108"/>
      <c r="E86" s="108"/>
      <c r="F86" s="108"/>
    </row>
    <row r="87" customFormat="false" ht="11.25" hidden="false" customHeight="false" outlineLevel="0" collapsed="false">
      <c r="A87" s="146"/>
      <c r="B87" s="108"/>
      <c r="C87" s="108"/>
      <c r="D87" s="108"/>
      <c r="E87" s="108"/>
      <c r="F87" s="108"/>
    </row>
    <row r="88" customFormat="false" ht="11.25" hidden="false" customHeight="false" outlineLevel="0" collapsed="false">
      <c r="A88" s="146"/>
      <c r="B88" s="108"/>
      <c r="C88" s="108"/>
      <c r="D88" s="108"/>
      <c r="E88" s="108"/>
      <c r="F88" s="108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</row>
    <row r="90" customFormat="false" ht="11.25" hidden="false" customHeight="false" outlineLevel="0" collapsed="false">
      <c r="A90" s="146"/>
      <c r="B90" s="108"/>
      <c r="C90" s="108"/>
      <c r="D90" s="108"/>
      <c r="E90" s="108"/>
      <c r="F90" s="108"/>
    </row>
    <row r="91" customFormat="false" ht="11.25" hidden="false" customHeight="false" outlineLevel="0" collapsed="false">
      <c r="A91" s="146"/>
      <c r="B91" s="108"/>
      <c r="C91" s="108"/>
      <c r="D91" s="108"/>
      <c r="E91" s="108"/>
      <c r="F91" s="108"/>
    </row>
    <row r="92" customFormat="false" ht="11.25" hidden="false" customHeight="false" outlineLevel="0" collapsed="false">
      <c r="A92" s="146"/>
      <c r="B92" s="108"/>
      <c r="C92" s="108"/>
      <c r="D92" s="108"/>
      <c r="E92" s="108"/>
      <c r="F92" s="108"/>
    </row>
    <row r="93" customFormat="false" ht="11.25" hidden="false" customHeight="false" outlineLevel="0" collapsed="false">
      <c r="A93" s="146"/>
      <c r="B93" s="108"/>
      <c r="C93" s="108"/>
      <c r="D93" s="108"/>
      <c r="E93" s="108"/>
      <c r="F93" s="108"/>
    </row>
    <row r="94" customFormat="false" ht="11.25" hidden="false" customHeight="false" outlineLevel="0" collapsed="false">
      <c r="A94" s="146"/>
      <c r="B94" s="108"/>
      <c r="C94" s="108"/>
      <c r="D94" s="108"/>
      <c r="E94" s="108"/>
      <c r="F94" s="108"/>
    </row>
    <row r="95" customFormat="false" ht="11.25" hidden="false" customHeight="false" outlineLevel="0" collapsed="false">
      <c r="A95" s="146"/>
      <c r="B95" s="108"/>
      <c r="C95" s="108"/>
      <c r="D95" s="108"/>
      <c r="E95" s="108"/>
      <c r="F95" s="108"/>
    </row>
    <row r="96" customFormat="false" ht="11.25" hidden="false" customHeight="false" outlineLevel="0" collapsed="false">
      <c r="A96" s="146"/>
      <c r="B96" s="108"/>
      <c r="C96" s="108"/>
      <c r="D96" s="108"/>
      <c r="E96" s="108"/>
      <c r="F96" s="108"/>
    </row>
    <row r="97" customFormat="false" ht="11.25" hidden="false" customHeight="false" outlineLevel="0" collapsed="false">
      <c r="A97" s="146"/>
      <c r="B97" s="108"/>
      <c r="C97" s="108"/>
      <c r="D97" s="108"/>
      <c r="E97" s="108"/>
      <c r="F97" s="108"/>
    </row>
    <row r="98" customFormat="false" ht="11.25" hidden="false" customHeight="false" outlineLevel="0" collapsed="false">
      <c r="A98" s="146"/>
      <c r="B98" s="108"/>
      <c r="C98" s="108"/>
      <c r="D98" s="108"/>
      <c r="E98" s="108"/>
      <c r="F98" s="108"/>
    </row>
    <row r="99" customFormat="false" ht="11.25" hidden="false" customHeight="false" outlineLevel="0" collapsed="false">
      <c r="A99" s="146"/>
      <c r="B99" s="108"/>
      <c r="C99" s="108"/>
      <c r="D99" s="108"/>
      <c r="E99" s="108"/>
      <c r="F99" s="108"/>
    </row>
    <row r="100" customFormat="false" ht="11.25" hidden="false" customHeight="false" outlineLevel="0" collapsed="false">
      <c r="A100" s="146"/>
      <c r="B100" s="108"/>
      <c r="C100" s="108"/>
      <c r="D100" s="108"/>
      <c r="E100" s="108"/>
      <c r="F100" s="108"/>
    </row>
    <row r="101" customFormat="false" ht="11.25" hidden="false" customHeight="false" outlineLevel="0" collapsed="false">
      <c r="A101" s="146"/>
      <c r="B101" s="108"/>
      <c r="C101" s="108"/>
      <c r="D101" s="108"/>
      <c r="E101" s="108"/>
      <c r="F101" s="108"/>
    </row>
    <row r="102" customFormat="false" ht="11.25" hidden="false" customHeight="false" outlineLevel="0" collapsed="false">
      <c r="A102" s="146"/>
      <c r="B102" s="108"/>
      <c r="C102" s="108"/>
      <c r="D102" s="108"/>
      <c r="E102" s="108"/>
      <c r="F102" s="108"/>
    </row>
    <row r="103" customFormat="false" ht="11.25" hidden="false" customHeight="false" outlineLevel="0" collapsed="false">
      <c r="A103" s="146"/>
      <c r="B103" s="108"/>
      <c r="C103" s="108"/>
      <c r="D103" s="108"/>
      <c r="E103" s="108"/>
      <c r="F103" s="108"/>
    </row>
    <row r="104" customFormat="false" ht="11.25" hidden="false" customHeight="false" outlineLevel="0" collapsed="false">
      <c r="A104" s="146"/>
      <c r="B104" s="108"/>
      <c r="C104" s="108"/>
      <c r="D104" s="108"/>
      <c r="E104" s="108"/>
      <c r="F104" s="108"/>
    </row>
    <row r="105" customFormat="false" ht="11.25" hidden="false" customHeight="false" outlineLevel="0" collapsed="false">
      <c r="A105" s="146"/>
      <c r="B105" s="108"/>
      <c r="C105" s="108"/>
      <c r="D105" s="108"/>
      <c r="E105" s="108"/>
      <c r="F105" s="108"/>
    </row>
    <row r="106" customFormat="false" ht="11.25" hidden="false" customHeight="false" outlineLevel="0" collapsed="false">
      <c r="A106" s="146"/>
      <c r="B106" s="108"/>
      <c r="C106" s="108"/>
      <c r="D106" s="108"/>
      <c r="E106" s="108"/>
      <c r="F106" s="108"/>
    </row>
    <row r="107" customFormat="false" ht="11.25" hidden="false" customHeight="false" outlineLevel="0" collapsed="false">
      <c r="A107" s="146"/>
      <c r="B107" s="108"/>
      <c r="C107" s="108"/>
      <c r="D107" s="108"/>
      <c r="E107" s="108"/>
      <c r="F107" s="108"/>
    </row>
    <row r="108" customFormat="false" ht="11.25" hidden="false" customHeight="false" outlineLevel="0" collapsed="false">
      <c r="A108" s="146"/>
      <c r="B108" s="108"/>
      <c r="C108" s="108"/>
      <c r="D108" s="108"/>
      <c r="E108" s="108"/>
      <c r="F108" s="108"/>
    </row>
    <row r="109" customFormat="false" ht="11.25" hidden="false" customHeight="false" outlineLevel="0" collapsed="false">
      <c r="A109" s="146"/>
      <c r="B109" s="108"/>
      <c r="C109" s="108"/>
      <c r="D109" s="108"/>
      <c r="E109" s="108"/>
      <c r="F109" s="108"/>
    </row>
    <row r="110" customFormat="false" ht="11.25" hidden="false" customHeight="false" outlineLevel="0" collapsed="false">
      <c r="A110" s="146"/>
      <c r="B110" s="108"/>
      <c r="C110" s="108"/>
      <c r="D110" s="108"/>
      <c r="E110" s="108"/>
      <c r="F110" s="108"/>
    </row>
    <row r="111" customFormat="false" ht="11.25" hidden="false" customHeight="false" outlineLevel="0" collapsed="false">
      <c r="A111" s="146"/>
      <c r="B111" s="108"/>
      <c r="C111" s="108"/>
      <c r="D111" s="108"/>
      <c r="E111" s="108"/>
      <c r="F111" s="108"/>
    </row>
    <row r="112" customFormat="false" ht="11.25" hidden="false" customHeight="false" outlineLevel="0" collapsed="false">
      <c r="A112" s="146"/>
      <c r="B112" s="108"/>
      <c r="C112" s="108"/>
      <c r="D112" s="108"/>
      <c r="E112" s="108"/>
      <c r="F112" s="108"/>
    </row>
    <row r="113" customFormat="false" ht="11.25" hidden="false" customHeight="false" outlineLevel="0" collapsed="false">
      <c r="A113" s="146"/>
      <c r="B113" s="108"/>
      <c r="C113" s="108"/>
      <c r="D113" s="108"/>
      <c r="E113" s="108"/>
      <c r="F113" s="108"/>
    </row>
    <row r="114" customFormat="false" ht="11.25" hidden="false" customHeight="false" outlineLevel="0" collapsed="false">
      <c r="A114" s="146"/>
      <c r="B114" s="108"/>
      <c r="C114" s="108"/>
      <c r="D114" s="108"/>
      <c r="E114" s="108"/>
      <c r="F114" s="108"/>
    </row>
    <row r="115" customFormat="false" ht="11.25" hidden="false" customHeight="false" outlineLevel="0" collapsed="false">
      <c r="A115" s="149"/>
      <c r="C115" s="30"/>
      <c r="D115" s="30"/>
      <c r="E115" s="30"/>
      <c r="F115" s="16"/>
    </row>
    <row r="116" customFormat="false" ht="11.25" hidden="false" customHeight="false" outlineLevel="0" collapsed="false">
      <c r="C116" s="79"/>
      <c r="D116" s="79"/>
      <c r="E116" s="79"/>
      <c r="F116" s="108"/>
    </row>
    <row r="117" customFormat="false" ht="11.25" hidden="false" customHeight="false" outlineLevel="0" collapsed="false">
      <c r="C117" s="120"/>
      <c r="E117" s="168"/>
      <c r="F117" s="108"/>
    </row>
    <row r="118" customFormat="false" ht="11.25" hidden="false" customHeight="false" outlineLevel="0" collapsed="false">
      <c r="C118" s="79"/>
      <c r="E118" s="79"/>
      <c r="F118" s="108"/>
    </row>
    <row r="119" customFormat="false" ht="11.25" hidden="false" customHeight="false" outlineLevel="0" collapsed="false">
      <c r="C119" s="79"/>
      <c r="E119" s="79"/>
      <c r="F119" s="108"/>
    </row>
    <row r="120" customFormat="false" ht="11.25" hidden="false" customHeight="false" outlineLevel="0" collapsed="false">
      <c r="C120" s="86"/>
      <c r="E120" s="86"/>
      <c r="F120" s="131"/>
    </row>
    <row r="122" customFormat="false" ht="11.25" hidden="false" customHeight="false" outlineLevel="0" collapsed="false">
      <c r="A122" s="319"/>
    </row>
    <row r="123" customFormat="false" ht="11.25" hidden="false" customHeight="false" outlineLevel="0" collapsed="false">
      <c r="A123" s="19"/>
      <c r="B123" s="19"/>
      <c r="D123" s="100"/>
      <c r="E123" s="100"/>
      <c r="F123" s="100"/>
    </row>
    <row r="124" customFormat="false" ht="11.25" hidden="false" customHeight="false" outlineLevel="0" collapsed="false">
      <c r="A124" s="24"/>
      <c r="B124" s="101"/>
      <c r="C124" s="101"/>
      <c r="D124" s="101"/>
      <c r="E124" s="101"/>
      <c r="F124" s="101"/>
    </row>
    <row r="125" customFormat="false" ht="11.25" hidden="false" customHeight="false" outlineLevel="0" collapsed="false">
      <c r="A125" s="146"/>
      <c r="B125" s="108"/>
      <c r="C125" s="108"/>
      <c r="D125" s="108"/>
      <c r="E125" s="108"/>
      <c r="F125" s="108"/>
    </row>
    <row r="126" customFormat="false" ht="11.25" hidden="false" customHeight="false" outlineLevel="0" collapsed="false">
      <c r="A126" s="146"/>
      <c r="B126" s="108"/>
      <c r="C126" s="108"/>
      <c r="D126" s="108"/>
      <c r="E126" s="108"/>
      <c r="F126" s="108"/>
    </row>
    <row r="127" customFormat="false" ht="11.25" hidden="false" customHeight="false" outlineLevel="0" collapsed="false">
      <c r="A127" s="146"/>
      <c r="B127" s="108"/>
      <c r="C127" s="108"/>
      <c r="D127" s="108"/>
      <c r="E127" s="108"/>
      <c r="F127" s="108"/>
    </row>
    <row r="128" customFormat="false" ht="11.25" hidden="false" customHeight="false" outlineLevel="0" collapsed="false">
      <c r="A128" s="146"/>
      <c r="B128" s="108"/>
      <c r="C128" s="108"/>
      <c r="D128" s="108"/>
      <c r="E128" s="108"/>
      <c r="F128" s="108"/>
    </row>
    <row r="129" customFormat="false" ht="11.25" hidden="false" customHeight="false" outlineLevel="0" collapsed="false">
      <c r="A129" s="146"/>
      <c r="B129" s="108"/>
      <c r="C129" s="108"/>
      <c r="D129" s="108"/>
      <c r="E129" s="108"/>
      <c r="F129" s="108"/>
    </row>
    <row r="130" customFormat="false" ht="11.25" hidden="false" customHeight="false" outlineLevel="0" collapsed="false">
      <c r="A130" s="146"/>
      <c r="B130" s="108"/>
      <c r="C130" s="108"/>
      <c r="D130" s="108"/>
      <c r="E130" s="108"/>
      <c r="F130" s="108"/>
    </row>
    <row r="131" customFormat="false" ht="11.25" hidden="false" customHeight="false" outlineLevel="0" collapsed="false">
      <c r="A131" s="146"/>
      <c r="B131" s="108"/>
      <c r="C131" s="108"/>
      <c r="D131" s="108"/>
      <c r="E131" s="108"/>
      <c r="F131" s="108"/>
    </row>
    <row r="132" customFormat="false" ht="11.25" hidden="false" customHeight="false" outlineLevel="0" collapsed="false">
      <c r="A132" s="146"/>
      <c r="B132" s="108"/>
      <c r="C132" s="108"/>
      <c r="D132" s="108"/>
      <c r="E132" s="108"/>
      <c r="F132" s="108"/>
    </row>
    <row r="133" customFormat="false" ht="11.25" hidden="false" customHeight="false" outlineLevel="0" collapsed="false">
      <c r="A133" s="146"/>
      <c r="B133" s="108"/>
      <c r="C133" s="108"/>
      <c r="D133" s="108"/>
      <c r="E133" s="108"/>
      <c r="F133" s="108"/>
    </row>
    <row r="134" customFormat="false" ht="11.25" hidden="false" customHeight="false" outlineLevel="0" collapsed="false">
      <c r="A134" s="146"/>
      <c r="B134" s="108"/>
      <c r="C134" s="108"/>
      <c r="D134" s="108"/>
      <c r="E134" s="108"/>
      <c r="F134" s="108"/>
    </row>
    <row r="135" customFormat="false" ht="11.25" hidden="false" customHeight="false" outlineLevel="0" collapsed="false">
      <c r="A135" s="146"/>
      <c r="B135" s="108"/>
      <c r="C135" s="108"/>
      <c r="D135" s="108"/>
      <c r="E135" s="108"/>
      <c r="F135" s="108"/>
    </row>
    <row r="136" customFormat="false" ht="11.25" hidden="false" customHeight="false" outlineLevel="0" collapsed="false">
      <c r="A136" s="146"/>
      <c r="B136" s="108"/>
      <c r="C136" s="108"/>
      <c r="D136" s="108"/>
      <c r="E136" s="108"/>
      <c r="F136" s="108"/>
    </row>
    <row r="137" customFormat="false" ht="11.25" hidden="false" customHeight="false" outlineLevel="0" collapsed="false">
      <c r="A137" s="146"/>
      <c r="B137" s="108"/>
      <c r="C137" s="108"/>
      <c r="D137" s="108"/>
      <c r="E137" s="108"/>
      <c r="F137" s="108"/>
    </row>
    <row r="138" customFormat="false" ht="11.25" hidden="false" customHeight="false" outlineLevel="0" collapsed="false">
      <c r="A138" s="146"/>
      <c r="B138" s="108"/>
      <c r="C138" s="108"/>
      <c r="D138" s="108"/>
      <c r="E138" s="108"/>
      <c r="F138" s="108"/>
    </row>
    <row r="139" customFormat="false" ht="11.25" hidden="false" customHeight="false" outlineLevel="0" collapsed="false">
      <c r="A139" s="146"/>
      <c r="B139" s="108"/>
      <c r="C139" s="108"/>
      <c r="D139" s="108"/>
      <c r="E139" s="108"/>
      <c r="F139" s="108"/>
    </row>
    <row r="140" customFormat="false" ht="11.25" hidden="false" customHeight="false" outlineLevel="0" collapsed="false">
      <c r="A140" s="146"/>
      <c r="B140" s="108"/>
      <c r="C140" s="108"/>
      <c r="D140" s="108"/>
      <c r="E140" s="108"/>
      <c r="F140" s="108"/>
    </row>
    <row r="141" customFormat="false" ht="11.25" hidden="false" customHeight="false" outlineLevel="0" collapsed="false">
      <c r="A141" s="146"/>
      <c r="B141" s="108"/>
      <c r="C141" s="108"/>
      <c r="D141" s="108"/>
      <c r="E141" s="108"/>
      <c r="F141" s="108"/>
    </row>
    <row r="142" customFormat="false" ht="11.25" hidden="false" customHeight="false" outlineLevel="0" collapsed="false">
      <c r="A142" s="146"/>
      <c r="B142" s="108"/>
      <c r="C142" s="108"/>
      <c r="D142" s="108"/>
      <c r="E142" s="108"/>
      <c r="F142" s="108"/>
    </row>
    <row r="143" customFormat="false" ht="11.25" hidden="false" customHeight="false" outlineLevel="0" collapsed="false">
      <c r="A143" s="146"/>
      <c r="B143" s="108"/>
      <c r="C143" s="108"/>
      <c r="D143" s="108"/>
      <c r="E143" s="108"/>
      <c r="F143" s="108"/>
    </row>
    <row r="144" customFormat="false" ht="11.25" hidden="false" customHeight="false" outlineLevel="0" collapsed="false">
      <c r="A144" s="146"/>
      <c r="B144" s="108"/>
      <c r="C144" s="108"/>
      <c r="D144" s="108"/>
      <c r="E144" s="108"/>
      <c r="F144" s="108"/>
    </row>
    <row r="145" customFormat="false" ht="11.25" hidden="false" customHeight="false" outlineLevel="0" collapsed="false">
      <c r="A145" s="146"/>
      <c r="B145" s="108"/>
      <c r="C145" s="108"/>
      <c r="D145" s="108"/>
      <c r="E145" s="108"/>
      <c r="F145" s="108"/>
    </row>
    <row r="146" customFormat="false" ht="11.25" hidden="false" customHeight="false" outlineLevel="0" collapsed="false">
      <c r="A146" s="146"/>
      <c r="B146" s="108"/>
      <c r="C146" s="108"/>
      <c r="D146" s="108"/>
      <c r="E146" s="108"/>
      <c r="F146" s="108"/>
    </row>
    <row r="147" customFormat="false" ht="11.25" hidden="false" customHeight="false" outlineLevel="0" collapsed="false">
      <c r="A147" s="146"/>
      <c r="B147" s="108"/>
      <c r="C147" s="108"/>
      <c r="D147" s="108"/>
      <c r="E147" s="108"/>
      <c r="F147" s="108"/>
    </row>
    <row r="148" customFormat="false" ht="11.25" hidden="false" customHeight="false" outlineLevel="0" collapsed="false">
      <c r="A148" s="146"/>
      <c r="B148" s="108"/>
      <c r="C148" s="108"/>
      <c r="D148" s="108"/>
      <c r="E148" s="108"/>
      <c r="F148" s="108"/>
    </row>
    <row r="149" customFormat="false" ht="11.25" hidden="false" customHeight="false" outlineLevel="0" collapsed="false">
      <c r="A149" s="146"/>
      <c r="B149" s="108"/>
      <c r="C149" s="108"/>
      <c r="D149" s="108"/>
      <c r="E149" s="108"/>
      <c r="F149" s="108"/>
    </row>
    <row r="150" customFormat="false" ht="11.25" hidden="false" customHeight="false" outlineLevel="0" collapsed="false">
      <c r="A150" s="146"/>
      <c r="B150" s="108"/>
      <c r="C150" s="108"/>
      <c r="D150" s="108"/>
      <c r="E150" s="108"/>
      <c r="F150" s="108"/>
    </row>
    <row r="151" customFormat="false" ht="11.25" hidden="false" customHeight="false" outlineLevel="0" collapsed="false">
      <c r="A151" s="146"/>
      <c r="B151" s="108"/>
      <c r="C151" s="108"/>
      <c r="D151" s="108"/>
      <c r="E151" s="108"/>
      <c r="F151" s="108"/>
    </row>
    <row r="152" customFormat="false" ht="11.25" hidden="false" customHeight="false" outlineLevel="0" collapsed="false">
      <c r="A152" s="146"/>
      <c r="B152" s="108"/>
      <c r="C152" s="108"/>
      <c r="D152" s="108"/>
      <c r="E152" s="108"/>
      <c r="F152" s="108"/>
    </row>
    <row r="153" customFormat="false" ht="11.25" hidden="false" customHeight="false" outlineLevel="0" collapsed="false">
      <c r="A153" s="146"/>
      <c r="B153" s="108"/>
      <c r="C153" s="108"/>
      <c r="D153" s="108"/>
      <c r="E153" s="108"/>
      <c r="F153" s="108"/>
    </row>
    <row r="154" customFormat="false" ht="11.25" hidden="false" customHeight="false" outlineLevel="0" collapsed="false">
      <c r="A154" s="146"/>
      <c r="B154" s="108"/>
      <c r="C154" s="108"/>
      <c r="D154" s="108"/>
      <c r="E154" s="108"/>
      <c r="F154" s="108"/>
    </row>
    <row r="155" customFormat="false" ht="11.25" hidden="false" customHeight="false" outlineLevel="0" collapsed="false">
      <c r="A155" s="146"/>
      <c r="B155" s="108"/>
      <c r="C155" s="108"/>
      <c r="D155" s="108"/>
      <c r="E155" s="108"/>
      <c r="F155" s="108"/>
    </row>
    <row r="156" customFormat="false" ht="11.25" hidden="false" customHeight="false" outlineLevel="0" collapsed="false">
      <c r="A156" s="146"/>
      <c r="B156" s="108"/>
      <c r="C156" s="108"/>
      <c r="D156" s="108"/>
      <c r="E156" s="108"/>
      <c r="F156" s="108"/>
    </row>
    <row r="157" customFormat="false" ht="11.25" hidden="false" customHeight="false" outlineLevel="0" collapsed="false">
      <c r="A157" s="149"/>
      <c r="C157" s="30"/>
      <c r="D157" s="30"/>
      <c r="E157" s="30"/>
      <c r="F157" s="16"/>
    </row>
    <row r="158" customFormat="false" ht="11.25" hidden="false" customHeight="false" outlineLevel="0" collapsed="false">
      <c r="C158" s="79"/>
      <c r="D158" s="79"/>
      <c r="E158" s="79"/>
      <c r="F158" s="108"/>
    </row>
    <row r="159" customFormat="false" ht="11.25" hidden="false" customHeight="false" outlineLevel="0" collapsed="false">
      <c r="C159" s="184"/>
      <c r="E159" s="184"/>
      <c r="F159" s="150"/>
    </row>
    <row r="160" customFormat="false" ht="11.25" hidden="false" customHeight="false" outlineLevel="0" collapsed="false">
      <c r="C160" s="79"/>
      <c r="E160" s="79"/>
      <c r="F160" s="108"/>
    </row>
    <row r="161" customFormat="false" ht="11.25" hidden="false" customHeight="false" outlineLevel="0" collapsed="false">
      <c r="C161" s="79"/>
      <c r="E161" s="79"/>
      <c r="F161" s="108"/>
    </row>
    <row r="162" customFormat="false" ht="11.25" hidden="false" customHeight="false" outlineLevel="0" collapsed="false">
      <c r="C162" s="86"/>
      <c r="E162" s="86"/>
      <c r="F162" s="150"/>
    </row>
    <row r="167" customFormat="false" ht="11.25" hidden="false" customHeight="false" outlineLevel="0" collapsed="false">
      <c r="A167" s="319"/>
      <c r="G167" s="143"/>
      <c r="M167" s="143"/>
    </row>
    <row r="168" customFormat="false" ht="11.25" hidden="false" customHeight="false" outlineLevel="0" collapsed="false">
      <c r="A168" s="19"/>
      <c r="B168" s="19"/>
      <c r="D168" s="100"/>
      <c r="E168" s="100"/>
      <c r="F168" s="100"/>
      <c r="H168" s="19"/>
      <c r="J168" s="100"/>
      <c r="K168" s="100"/>
      <c r="L168" s="100"/>
      <c r="M168" s="19"/>
      <c r="N168" s="19"/>
      <c r="P168" s="100"/>
      <c r="Q168" s="100"/>
      <c r="R168" s="100"/>
    </row>
    <row r="169" customFormat="false" ht="11.25" hidden="false" customHeight="false" outlineLevel="0" collapsed="false">
      <c r="A169" s="24"/>
      <c r="B169" s="101"/>
      <c r="C169" s="101"/>
      <c r="D169" s="101"/>
      <c r="E169" s="101"/>
      <c r="F169" s="101"/>
      <c r="G169" s="24"/>
      <c r="H169" s="101"/>
      <c r="I169" s="101"/>
      <c r="J169" s="101"/>
      <c r="K169" s="101"/>
      <c r="L169" s="101"/>
      <c r="M169" s="24"/>
      <c r="N169" s="101"/>
      <c r="O169" s="101"/>
      <c r="P169" s="101"/>
      <c r="Q169" s="101"/>
      <c r="R169" s="101"/>
    </row>
    <row r="170" customFormat="false" ht="11.25" hidden="false" customHeight="false" outlineLevel="0" collapsed="false">
      <c r="A170" s="146"/>
      <c r="B170" s="108"/>
      <c r="C170" s="108"/>
      <c r="D170" s="108"/>
      <c r="E170" s="108"/>
      <c r="F170" s="108"/>
      <c r="G170" s="146"/>
      <c r="H170" s="108"/>
      <c r="I170" s="108"/>
      <c r="J170" s="108"/>
      <c r="K170" s="108"/>
      <c r="L170" s="108"/>
      <c r="M170" s="146"/>
      <c r="N170" s="108"/>
      <c r="O170" s="108"/>
      <c r="P170" s="108"/>
      <c r="Q170" s="108"/>
      <c r="R170" s="108"/>
    </row>
    <row r="171" customFormat="false" ht="11.25" hidden="false" customHeight="false" outlineLevel="0" collapsed="false">
      <c r="A171" s="146"/>
      <c r="B171" s="108"/>
      <c r="C171" s="108"/>
      <c r="D171" s="108"/>
      <c r="E171" s="108"/>
      <c r="F171" s="108"/>
      <c r="G171" s="146"/>
      <c r="H171" s="108"/>
      <c r="I171" s="108"/>
      <c r="J171" s="108"/>
      <c r="K171" s="108"/>
      <c r="L171" s="108"/>
      <c r="M171" s="146"/>
      <c r="N171" s="108"/>
      <c r="O171" s="108"/>
      <c r="P171" s="108"/>
      <c r="Q171" s="108"/>
      <c r="R171" s="108"/>
    </row>
    <row r="172" customFormat="false" ht="11.25" hidden="false" customHeight="false" outlineLevel="0" collapsed="false">
      <c r="A172" s="146"/>
      <c r="B172" s="108"/>
      <c r="C172" s="108"/>
      <c r="D172" s="108"/>
      <c r="E172" s="108"/>
      <c r="F172" s="108"/>
      <c r="G172" s="146"/>
      <c r="H172" s="108"/>
      <c r="I172" s="108"/>
      <c r="J172" s="108"/>
      <c r="K172" s="108"/>
      <c r="L172" s="108"/>
      <c r="M172" s="146"/>
      <c r="N172" s="108"/>
      <c r="O172" s="108"/>
      <c r="P172" s="108"/>
      <c r="Q172" s="108"/>
      <c r="R172" s="108"/>
    </row>
    <row r="173" customFormat="false" ht="11.25" hidden="false" customHeight="false" outlineLevel="0" collapsed="false">
      <c r="A173" s="146"/>
      <c r="B173" s="108"/>
      <c r="C173" s="108"/>
      <c r="D173" s="108"/>
      <c r="E173" s="108"/>
      <c r="F173" s="108"/>
      <c r="G173" s="146"/>
      <c r="H173" s="108"/>
      <c r="I173" s="108"/>
      <c r="J173" s="108"/>
      <c r="K173" s="108"/>
      <c r="L173" s="108"/>
      <c r="M173" s="146"/>
      <c r="N173" s="108"/>
      <c r="O173" s="108"/>
      <c r="P173" s="108"/>
      <c r="Q173" s="108"/>
      <c r="R173" s="108"/>
    </row>
    <row r="174" customFormat="false" ht="11.25" hidden="false" customHeight="false" outlineLevel="0" collapsed="false">
      <c r="A174" s="146"/>
      <c r="B174" s="108"/>
      <c r="C174" s="108"/>
      <c r="D174" s="108"/>
      <c r="E174" s="108"/>
      <c r="F174" s="108"/>
      <c r="G174" s="146"/>
      <c r="H174" s="108"/>
      <c r="I174" s="108"/>
      <c r="J174" s="108"/>
      <c r="K174" s="108"/>
      <c r="L174" s="108"/>
      <c r="M174" s="146"/>
      <c r="N174" s="108"/>
      <c r="O174" s="108"/>
      <c r="P174" s="108"/>
      <c r="Q174" s="108"/>
      <c r="R174" s="108"/>
    </row>
    <row r="175" customFormat="false" ht="11.25" hidden="false" customHeight="false" outlineLevel="0" collapsed="false">
      <c r="A175" s="146"/>
      <c r="B175" s="108"/>
      <c r="C175" s="108"/>
      <c r="D175" s="108"/>
      <c r="E175" s="108"/>
      <c r="F175" s="108"/>
      <c r="G175" s="146"/>
      <c r="H175" s="108"/>
      <c r="I175" s="108"/>
      <c r="J175" s="108"/>
      <c r="K175" s="108"/>
      <c r="L175" s="108"/>
      <c r="M175" s="146"/>
      <c r="N175" s="108"/>
      <c r="O175" s="108"/>
      <c r="P175" s="108"/>
      <c r="Q175" s="108"/>
      <c r="R175" s="108"/>
    </row>
    <row r="176" customFormat="false" ht="11.25" hidden="false" customHeight="false" outlineLevel="0" collapsed="false">
      <c r="A176" s="146"/>
      <c r="B176" s="108"/>
      <c r="C176" s="108"/>
      <c r="D176" s="108"/>
      <c r="E176" s="108"/>
      <c r="F176" s="108"/>
      <c r="G176" s="146"/>
      <c r="H176" s="108"/>
      <c r="I176" s="108"/>
      <c r="J176" s="108"/>
      <c r="K176" s="108"/>
      <c r="L176" s="108"/>
      <c r="M176" s="146"/>
      <c r="N176" s="108"/>
      <c r="O176" s="108"/>
      <c r="P176" s="108"/>
      <c r="Q176" s="108"/>
      <c r="R176" s="108"/>
    </row>
    <row r="177" customFormat="false" ht="11.25" hidden="false" customHeight="false" outlineLevel="0" collapsed="false">
      <c r="A177" s="146"/>
      <c r="B177" s="108"/>
      <c r="C177" s="108"/>
      <c r="D177" s="108"/>
      <c r="E177" s="108"/>
      <c r="F177" s="108"/>
      <c r="G177" s="146"/>
      <c r="H177" s="108"/>
      <c r="I177" s="108"/>
      <c r="J177" s="108"/>
      <c r="K177" s="108"/>
      <c r="L177" s="108"/>
      <c r="M177" s="146"/>
      <c r="N177" s="108"/>
      <c r="O177" s="108"/>
      <c r="P177" s="108"/>
      <c r="Q177" s="108"/>
      <c r="R177" s="108"/>
    </row>
    <row r="178" customFormat="false" ht="11.25" hidden="false" customHeight="false" outlineLevel="0" collapsed="false">
      <c r="A178" s="146"/>
      <c r="B178" s="108"/>
      <c r="C178" s="108"/>
      <c r="D178" s="108"/>
      <c r="E178" s="108"/>
      <c r="F178" s="108"/>
      <c r="G178" s="146"/>
      <c r="H178" s="108"/>
      <c r="I178" s="108"/>
      <c r="J178" s="108"/>
      <c r="K178" s="108"/>
      <c r="L178" s="108"/>
      <c r="M178" s="146"/>
      <c r="N178" s="108"/>
      <c r="O178" s="108"/>
      <c r="P178" s="108"/>
      <c r="Q178" s="108"/>
      <c r="R178" s="108"/>
    </row>
    <row r="179" customFormat="false" ht="11.25" hidden="false" customHeight="false" outlineLevel="0" collapsed="false">
      <c r="A179" s="146"/>
      <c r="B179" s="108"/>
      <c r="C179" s="108"/>
      <c r="D179" s="108"/>
      <c r="E179" s="108"/>
      <c r="F179" s="108"/>
      <c r="G179" s="146"/>
      <c r="H179" s="108"/>
      <c r="I179" s="108"/>
      <c r="J179" s="108"/>
      <c r="K179" s="108"/>
      <c r="L179" s="108"/>
      <c r="M179" s="146"/>
      <c r="N179" s="108"/>
      <c r="O179" s="108"/>
      <c r="P179" s="108"/>
      <c r="Q179" s="108"/>
      <c r="R179" s="108"/>
    </row>
    <row r="180" customFormat="false" ht="11.25" hidden="false" customHeight="false" outlineLevel="0" collapsed="false">
      <c r="A180" s="146"/>
      <c r="B180" s="108"/>
      <c r="C180" s="108"/>
      <c r="D180" s="108"/>
      <c r="E180" s="108"/>
      <c r="F180" s="108"/>
      <c r="G180" s="146"/>
      <c r="H180" s="108"/>
      <c r="I180" s="108"/>
      <c r="J180" s="108"/>
      <c r="K180" s="108"/>
      <c r="L180" s="108"/>
      <c r="M180" s="146"/>
      <c r="N180" s="108"/>
      <c r="O180" s="108"/>
      <c r="P180" s="108"/>
      <c r="Q180" s="108"/>
      <c r="R180" s="108"/>
    </row>
    <row r="181" customFormat="false" ht="11.25" hidden="false" customHeight="false" outlineLevel="0" collapsed="false">
      <c r="A181" s="146"/>
      <c r="B181" s="108"/>
      <c r="C181" s="108"/>
      <c r="D181" s="108"/>
      <c r="E181" s="108"/>
      <c r="F181" s="108"/>
      <c r="G181" s="146"/>
      <c r="H181" s="108"/>
      <c r="I181" s="108"/>
      <c r="J181" s="108"/>
      <c r="K181" s="108"/>
      <c r="L181" s="108"/>
      <c r="M181" s="146"/>
      <c r="N181" s="108"/>
      <c r="O181" s="108"/>
      <c r="P181" s="108"/>
      <c r="Q181" s="108"/>
      <c r="R181" s="108"/>
    </row>
    <row r="182" customFormat="false" ht="11.25" hidden="false" customHeight="false" outlineLevel="0" collapsed="false">
      <c r="A182" s="146"/>
      <c r="B182" s="108"/>
      <c r="C182" s="108"/>
      <c r="D182" s="108"/>
      <c r="E182" s="108"/>
      <c r="F182" s="108"/>
      <c r="G182" s="146"/>
      <c r="H182" s="108"/>
      <c r="I182" s="108"/>
      <c r="J182" s="108"/>
      <c r="K182" s="108"/>
      <c r="L182" s="108"/>
      <c r="M182" s="146"/>
      <c r="N182" s="108"/>
      <c r="O182" s="108"/>
      <c r="P182" s="108"/>
      <c r="Q182" s="108"/>
      <c r="R182" s="108"/>
    </row>
    <row r="183" customFormat="false" ht="11.25" hidden="false" customHeight="false" outlineLevel="0" collapsed="false">
      <c r="A183" s="146"/>
      <c r="B183" s="108"/>
      <c r="C183" s="108"/>
      <c r="D183" s="108"/>
      <c r="E183" s="108"/>
      <c r="F183" s="108"/>
      <c r="G183" s="146"/>
      <c r="H183" s="108"/>
      <c r="I183" s="108"/>
      <c r="J183" s="108"/>
      <c r="K183" s="108"/>
      <c r="L183" s="108"/>
      <c r="M183" s="146"/>
      <c r="N183" s="108"/>
      <c r="O183" s="108"/>
      <c r="P183" s="108"/>
      <c r="Q183" s="108"/>
      <c r="R183" s="108"/>
    </row>
    <row r="184" customFormat="false" ht="11.25" hidden="false" customHeight="false" outlineLevel="0" collapsed="false">
      <c r="A184" s="146"/>
      <c r="B184" s="108"/>
      <c r="C184" s="108"/>
      <c r="D184" s="108"/>
      <c r="E184" s="108"/>
      <c r="F184" s="108"/>
      <c r="G184" s="146"/>
      <c r="H184" s="108"/>
      <c r="I184" s="108"/>
      <c r="J184" s="108"/>
      <c r="K184" s="108"/>
      <c r="L184" s="108"/>
      <c r="M184" s="146"/>
      <c r="N184" s="108"/>
      <c r="O184" s="108"/>
      <c r="P184" s="108"/>
      <c r="Q184" s="108"/>
      <c r="R184" s="108"/>
    </row>
    <row r="185" customFormat="false" ht="11.25" hidden="false" customHeight="false" outlineLevel="0" collapsed="false">
      <c r="A185" s="146"/>
      <c r="B185" s="108"/>
      <c r="C185" s="108"/>
      <c r="D185" s="108"/>
      <c r="E185" s="108"/>
      <c r="F185" s="108"/>
      <c r="G185" s="146"/>
      <c r="H185" s="108"/>
      <c r="I185" s="108"/>
      <c r="J185" s="108"/>
      <c r="K185" s="108"/>
      <c r="L185" s="108"/>
      <c r="M185" s="146"/>
      <c r="N185" s="108"/>
      <c r="O185" s="108"/>
      <c r="P185" s="108"/>
      <c r="Q185" s="108"/>
      <c r="R185" s="108"/>
    </row>
    <row r="186" customFormat="false" ht="11.25" hidden="false" customHeight="false" outlineLevel="0" collapsed="false">
      <c r="A186" s="146"/>
      <c r="B186" s="108"/>
      <c r="C186" s="108"/>
      <c r="D186" s="108"/>
      <c r="E186" s="108"/>
      <c r="F186" s="108"/>
      <c r="G186" s="146"/>
      <c r="H186" s="108"/>
      <c r="I186" s="108"/>
      <c r="J186" s="108"/>
      <c r="K186" s="108"/>
      <c r="L186" s="108"/>
      <c r="M186" s="146"/>
      <c r="N186" s="108"/>
      <c r="O186" s="108"/>
      <c r="P186" s="108"/>
      <c r="Q186" s="108"/>
      <c r="R186" s="108"/>
    </row>
    <row r="187" customFormat="false" ht="11.25" hidden="false" customHeight="false" outlineLevel="0" collapsed="false">
      <c r="A187" s="146"/>
      <c r="B187" s="108"/>
      <c r="C187" s="108"/>
      <c r="D187" s="108"/>
      <c r="E187" s="108"/>
      <c r="F187" s="108"/>
      <c r="G187" s="146"/>
      <c r="H187" s="108"/>
      <c r="I187" s="108"/>
      <c r="J187" s="108"/>
      <c r="K187" s="108"/>
      <c r="L187" s="108"/>
      <c r="M187" s="146"/>
      <c r="N187" s="108"/>
      <c r="O187" s="108"/>
      <c r="P187" s="108"/>
      <c r="Q187" s="108"/>
      <c r="R187" s="108"/>
    </row>
    <row r="188" customFormat="false" ht="11.25" hidden="false" customHeight="false" outlineLevel="0" collapsed="false">
      <c r="A188" s="146"/>
      <c r="B188" s="108"/>
      <c r="C188" s="108"/>
      <c r="D188" s="108"/>
      <c r="E188" s="108"/>
      <c r="F188" s="108"/>
      <c r="G188" s="146"/>
      <c r="H188" s="108"/>
      <c r="I188" s="108"/>
      <c r="J188" s="108"/>
      <c r="K188" s="108"/>
      <c r="L188" s="108"/>
      <c r="M188" s="146"/>
      <c r="N188" s="108"/>
      <c r="O188" s="108"/>
      <c r="P188" s="108"/>
      <c r="Q188" s="108"/>
      <c r="R188" s="108"/>
    </row>
    <row r="189" customFormat="false" ht="11.25" hidden="false" customHeight="false" outlineLevel="0" collapsed="false">
      <c r="A189" s="146"/>
      <c r="B189" s="108"/>
      <c r="C189" s="108"/>
      <c r="D189" s="108"/>
      <c r="E189" s="108"/>
      <c r="F189" s="108"/>
      <c r="G189" s="146"/>
      <c r="H189" s="108"/>
      <c r="I189" s="108"/>
      <c r="J189" s="108"/>
      <c r="K189" s="108"/>
      <c r="L189" s="108"/>
      <c r="M189" s="146"/>
      <c r="N189" s="108"/>
      <c r="O189" s="108"/>
      <c r="P189" s="108"/>
      <c r="Q189" s="108"/>
      <c r="R189" s="108"/>
    </row>
    <row r="190" customFormat="false" ht="11.25" hidden="false" customHeight="false" outlineLevel="0" collapsed="false">
      <c r="A190" s="146"/>
      <c r="B190" s="108"/>
      <c r="C190" s="108"/>
      <c r="D190" s="108"/>
      <c r="E190" s="108"/>
      <c r="F190" s="108"/>
      <c r="G190" s="146"/>
      <c r="H190" s="108"/>
      <c r="I190" s="108"/>
      <c r="J190" s="108"/>
      <c r="K190" s="108"/>
      <c r="L190" s="108"/>
      <c r="M190" s="146"/>
      <c r="N190" s="108"/>
      <c r="O190" s="108"/>
      <c r="P190" s="108"/>
      <c r="Q190" s="108"/>
      <c r="R190" s="108"/>
    </row>
    <row r="191" customFormat="false" ht="11.25" hidden="false" customHeight="false" outlineLevel="0" collapsed="false">
      <c r="A191" s="146"/>
      <c r="B191" s="108"/>
      <c r="C191" s="108"/>
      <c r="D191" s="108"/>
      <c r="E191" s="108"/>
      <c r="F191" s="108"/>
      <c r="G191" s="146"/>
      <c r="H191" s="108"/>
      <c r="I191" s="108"/>
      <c r="J191" s="108"/>
      <c r="K191" s="108"/>
      <c r="L191" s="108"/>
      <c r="M191" s="146"/>
      <c r="N191" s="108"/>
      <c r="O191" s="108"/>
      <c r="P191" s="108"/>
      <c r="Q191" s="108"/>
      <c r="R191" s="108"/>
    </row>
    <row r="192" customFormat="false" ht="11.25" hidden="false" customHeight="false" outlineLevel="0" collapsed="false">
      <c r="A192" s="146"/>
      <c r="B192" s="108"/>
      <c r="C192" s="108"/>
      <c r="D192" s="108"/>
      <c r="E192" s="108"/>
      <c r="F192" s="108"/>
      <c r="G192" s="146"/>
      <c r="H192" s="108"/>
      <c r="I192" s="108"/>
      <c r="J192" s="108"/>
      <c r="K192" s="108"/>
      <c r="L192" s="108"/>
      <c r="M192" s="146"/>
      <c r="N192" s="108"/>
      <c r="O192" s="108"/>
      <c r="P192" s="108"/>
      <c r="Q192" s="108"/>
      <c r="R192" s="108"/>
    </row>
    <row r="193" customFormat="false" ht="11.25" hidden="false" customHeight="false" outlineLevel="0" collapsed="false">
      <c r="A193" s="146"/>
      <c r="B193" s="108"/>
      <c r="C193" s="108"/>
      <c r="D193" s="108"/>
      <c r="E193" s="108"/>
      <c r="F193" s="108"/>
      <c r="G193" s="146"/>
      <c r="H193" s="108"/>
      <c r="I193" s="108"/>
      <c r="J193" s="108"/>
      <c r="K193" s="108"/>
      <c r="L193" s="108"/>
      <c r="M193" s="146"/>
      <c r="N193" s="108"/>
      <c r="O193" s="108"/>
      <c r="P193" s="108"/>
      <c r="Q193" s="108"/>
      <c r="R193" s="108"/>
    </row>
    <row r="194" customFormat="false" ht="11.25" hidden="false" customHeight="false" outlineLevel="0" collapsed="false">
      <c r="A194" s="146"/>
      <c r="B194" s="108"/>
      <c r="C194" s="108"/>
      <c r="D194" s="108"/>
      <c r="E194" s="108"/>
      <c r="F194" s="108"/>
      <c r="G194" s="146"/>
      <c r="H194" s="108"/>
      <c r="I194" s="108"/>
      <c r="J194" s="108"/>
      <c r="K194" s="108"/>
      <c r="L194" s="108"/>
      <c r="M194" s="146"/>
      <c r="N194" s="108"/>
      <c r="O194" s="108"/>
      <c r="P194" s="108"/>
      <c r="Q194" s="108"/>
      <c r="R194" s="108"/>
    </row>
    <row r="195" customFormat="false" ht="11.25" hidden="false" customHeight="false" outlineLevel="0" collapsed="false">
      <c r="A195" s="146"/>
      <c r="B195" s="108"/>
      <c r="C195" s="108"/>
      <c r="D195" s="108"/>
      <c r="E195" s="108"/>
      <c r="F195" s="108"/>
      <c r="G195" s="146"/>
      <c r="H195" s="108"/>
      <c r="I195" s="108"/>
      <c r="J195" s="108"/>
      <c r="K195" s="108"/>
      <c r="L195" s="108"/>
      <c r="M195" s="146"/>
      <c r="N195" s="108"/>
      <c r="O195" s="108"/>
      <c r="P195" s="108"/>
      <c r="Q195" s="108"/>
      <c r="R195" s="108"/>
    </row>
    <row r="196" customFormat="false" ht="11.25" hidden="false" customHeight="false" outlineLevel="0" collapsed="false">
      <c r="A196" s="146"/>
      <c r="B196" s="108"/>
      <c r="C196" s="108"/>
      <c r="D196" s="108"/>
      <c r="E196" s="108"/>
      <c r="F196" s="108"/>
      <c r="G196" s="146"/>
      <c r="H196" s="108"/>
      <c r="I196" s="108"/>
      <c r="J196" s="108"/>
      <c r="K196" s="108"/>
      <c r="L196" s="108"/>
      <c r="M196" s="146"/>
      <c r="N196" s="108"/>
      <c r="O196" s="108"/>
      <c r="P196" s="108"/>
      <c r="Q196" s="108"/>
      <c r="R196" s="108"/>
    </row>
    <row r="197" customFormat="false" ht="11.25" hidden="false" customHeight="false" outlineLevel="0" collapsed="false">
      <c r="A197" s="146"/>
      <c r="B197" s="108"/>
      <c r="C197" s="108"/>
      <c r="D197" s="108"/>
      <c r="E197" s="108"/>
      <c r="F197" s="108"/>
      <c r="G197" s="146"/>
      <c r="H197" s="108"/>
      <c r="I197" s="108"/>
      <c r="J197" s="108"/>
      <c r="K197" s="108"/>
      <c r="L197" s="108"/>
      <c r="M197" s="146"/>
      <c r="N197" s="108"/>
      <c r="O197" s="108"/>
      <c r="P197" s="108"/>
      <c r="Q197" s="108"/>
      <c r="R197" s="108"/>
    </row>
    <row r="198" customFormat="false" ht="11.25" hidden="false" customHeight="false" outlineLevel="0" collapsed="false">
      <c r="A198" s="146"/>
      <c r="B198" s="108"/>
      <c r="C198" s="108"/>
      <c r="D198" s="108"/>
      <c r="E198" s="108"/>
      <c r="F198" s="108"/>
      <c r="G198" s="146"/>
      <c r="H198" s="108"/>
      <c r="I198" s="108"/>
      <c r="J198" s="108"/>
      <c r="K198" s="108"/>
      <c r="L198" s="108"/>
      <c r="M198" s="146"/>
      <c r="N198" s="108"/>
      <c r="O198" s="108"/>
      <c r="P198" s="108"/>
      <c r="Q198" s="108"/>
      <c r="R198" s="108"/>
    </row>
    <row r="199" customFormat="false" ht="11.25" hidden="false" customHeight="false" outlineLevel="0" collapsed="false">
      <c r="A199" s="146"/>
      <c r="B199" s="108"/>
      <c r="C199" s="108"/>
      <c r="D199" s="108"/>
      <c r="E199" s="108"/>
      <c r="F199" s="108"/>
      <c r="G199" s="146"/>
      <c r="H199" s="108"/>
      <c r="I199" s="108"/>
      <c r="J199" s="108"/>
      <c r="K199" s="108"/>
      <c r="L199" s="108"/>
      <c r="M199" s="146"/>
      <c r="N199" s="108"/>
      <c r="O199" s="108"/>
      <c r="P199" s="108"/>
      <c r="Q199" s="108"/>
      <c r="R199" s="108"/>
    </row>
    <row r="200" customFormat="false" ht="11.25" hidden="false" customHeight="false" outlineLevel="0" collapsed="false">
      <c r="A200" s="146"/>
      <c r="B200" s="108"/>
      <c r="C200" s="108"/>
      <c r="D200" s="108"/>
      <c r="E200" s="108"/>
      <c r="F200" s="108"/>
      <c r="G200" s="146"/>
      <c r="H200" s="108"/>
      <c r="I200" s="108"/>
      <c r="J200" s="108"/>
      <c r="K200" s="108"/>
      <c r="L200" s="108"/>
      <c r="M200" s="146"/>
      <c r="N200" s="108"/>
      <c r="O200" s="108"/>
      <c r="P200" s="108"/>
      <c r="Q200" s="108"/>
      <c r="R200" s="108"/>
    </row>
    <row r="201" customFormat="false" ht="11.25" hidden="false" customHeight="false" outlineLevel="0" collapsed="false">
      <c r="A201" s="146"/>
      <c r="B201" s="108"/>
      <c r="C201" s="108"/>
      <c r="D201" s="108"/>
      <c r="E201" s="108"/>
      <c r="F201" s="108"/>
      <c r="G201" s="146"/>
      <c r="H201" s="108"/>
      <c r="I201" s="108"/>
      <c r="J201" s="108"/>
      <c r="K201" s="108"/>
      <c r="L201" s="108"/>
      <c r="M201" s="146"/>
      <c r="N201" s="108"/>
      <c r="O201" s="108"/>
      <c r="P201" s="108"/>
      <c r="Q201" s="108"/>
      <c r="R201" s="108"/>
    </row>
    <row r="202" customFormat="false" ht="11.25" hidden="false" customHeight="false" outlineLevel="0" collapsed="false">
      <c r="A202" s="149"/>
      <c r="C202" s="30"/>
      <c r="D202" s="30"/>
      <c r="E202" s="30"/>
      <c r="F202" s="16"/>
      <c r="G202" s="149"/>
      <c r="I202" s="30"/>
      <c r="J202" s="30"/>
      <c r="K202" s="30"/>
      <c r="L202" s="16"/>
      <c r="M202" s="149"/>
      <c r="O202" s="30"/>
      <c r="P202" s="30"/>
      <c r="Q202" s="30"/>
      <c r="R202" s="16"/>
    </row>
    <row r="203" customFormat="false" ht="11.25" hidden="false" customHeight="false" outlineLevel="0" collapsed="false">
      <c r="C203" s="79"/>
      <c r="D203" s="79"/>
      <c r="E203" s="79"/>
      <c r="F203" s="108"/>
      <c r="G203" s="9"/>
      <c r="I203" s="79"/>
      <c r="J203" s="79"/>
      <c r="K203" s="79"/>
      <c r="L203" s="108"/>
      <c r="O203" s="79"/>
      <c r="P203" s="79"/>
      <c r="Q203" s="79"/>
      <c r="R203" s="108"/>
    </row>
    <row r="204" customFormat="false" ht="11.25" hidden="false" customHeight="false" outlineLevel="0" collapsed="false">
      <c r="C204" s="184"/>
      <c r="E204" s="184"/>
      <c r="F204" s="150"/>
      <c r="G204" s="9"/>
      <c r="I204" s="151"/>
      <c r="J204" s="16"/>
      <c r="K204" s="151"/>
      <c r="L204" s="150"/>
      <c r="O204" s="151"/>
      <c r="P204" s="16"/>
      <c r="Q204" s="151"/>
      <c r="R204" s="150"/>
    </row>
    <row r="205" customFormat="false" ht="11.25" hidden="false" customHeight="false" outlineLevel="0" collapsed="false">
      <c r="C205" s="79"/>
      <c r="E205" s="79"/>
      <c r="F205" s="108"/>
      <c r="G205" s="9"/>
      <c r="I205" s="16"/>
      <c r="J205" s="16"/>
      <c r="K205" s="16"/>
      <c r="L205" s="108"/>
      <c r="O205" s="16"/>
      <c r="P205" s="16"/>
      <c r="Q205" s="16"/>
      <c r="R205" s="108"/>
    </row>
    <row r="206" customFormat="false" ht="11.25" hidden="false" customHeight="false" outlineLevel="0" collapsed="false">
      <c r="C206" s="79"/>
      <c r="E206" s="79"/>
      <c r="F206" s="108"/>
      <c r="G206" s="152"/>
      <c r="I206" s="153"/>
      <c r="J206" s="153"/>
      <c r="K206" s="153"/>
      <c r="L206" s="184"/>
      <c r="M206" s="152"/>
      <c r="O206" s="153"/>
      <c r="P206" s="153"/>
      <c r="Q206" s="153"/>
      <c r="R206" s="184"/>
    </row>
    <row r="207" customFormat="false" ht="11.25" hidden="false" customHeight="false" outlineLevel="0" collapsed="false">
      <c r="C207" s="86"/>
      <c r="E207" s="86"/>
      <c r="F207" s="150"/>
      <c r="G207" s="152"/>
      <c r="I207" s="153"/>
      <c r="J207" s="153"/>
      <c r="K207" s="153"/>
      <c r="L207" s="184"/>
      <c r="M207" s="152"/>
      <c r="O207" s="153"/>
      <c r="P207" s="153"/>
      <c r="Q207" s="153"/>
      <c r="R207" s="184"/>
    </row>
    <row r="211" customFormat="false" ht="11.25" hidden="false" customHeight="false" outlineLevel="0" collapsed="false">
      <c r="M211" s="143"/>
    </row>
    <row r="212" customFormat="false" ht="11.25" hidden="false" customHeight="false" outlineLevel="0" collapsed="false">
      <c r="L212" s="100"/>
      <c r="M212" s="19"/>
      <c r="N212" s="19"/>
      <c r="P212" s="100"/>
      <c r="Q212" s="100"/>
      <c r="R212" s="100"/>
    </row>
    <row r="213" customFormat="false" ht="11.25" hidden="false" customHeight="false" outlineLevel="0" collapsed="false">
      <c r="L213" s="101"/>
      <c r="M213" s="24"/>
      <c r="N213" s="101"/>
      <c r="O213" s="101"/>
      <c r="P213" s="101"/>
      <c r="Q213" s="101"/>
      <c r="R213" s="101"/>
    </row>
    <row r="214" customFormat="false" ht="11.25" hidden="false" customHeight="false" outlineLevel="0" collapsed="false">
      <c r="L214" s="108"/>
      <c r="M214" s="146"/>
      <c r="N214" s="108"/>
      <c r="O214" s="108"/>
      <c r="P214" s="108"/>
      <c r="Q214" s="108"/>
      <c r="R214" s="108"/>
    </row>
    <row r="215" customFormat="false" ht="11.25" hidden="false" customHeight="false" outlineLevel="0" collapsed="false">
      <c r="L215" s="108"/>
      <c r="M215" s="146"/>
      <c r="N215" s="108"/>
      <c r="O215" s="108"/>
      <c r="P215" s="108"/>
      <c r="Q215" s="108"/>
      <c r="R215" s="108"/>
    </row>
    <row r="216" customFormat="false" ht="11.25" hidden="false" customHeight="false" outlineLevel="0" collapsed="false">
      <c r="L216" s="108"/>
      <c r="M216" s="146"/>
      <c r="N216" s="108"/>
      <c r="O216" s="108"/>
      <c r="P216" s="108"/>
      <c r="Q216" s="108"/>
      <c r="R216" s="108"/>
    </row>
    <row r="217" customFormat="false" ht="11.25" hidden="false" customHeight="false" outlineLevel="0" collapsed="false">
      <c r="L217" s="108"/>
      <c r="M217" s="146"/>
      <c r="N217" s="108"/>
      <c r="O217" s="108"/>
      <c r="P217" s="108"/>
      <c r="Q217" s="108"/>
      <c r="R217" s="108"/>
    </row>
    <row r="218" customFormat="false" ht="11.25" hidden="false" customHeight="false" outlineLevel="0" collapsed="false">
      <c r="L218" s="108"/>
      <c r="M218" s="146"/>
      <c r="N218" s="108"/>
      <c r="O218" s="108"/>
      <c r="P218" s="108"/>
      <c r="Q218" s="108"/>
      <c r="R218" s="108"/>
    </row>
    <row r="219" customFormat="false" ht="11.25" hidden="false" customHeight="false" outlineLevel="0" collapsed="false">
      <c r="L219" s="108"/>
      <c r="M219" s="146"/>
      <c r="N219" s="108"/>
      <c r="O219" s="108"/>
      <c r="P219" s="108"/>
      <c r="Q219" s="108"/>
      <c r="R219" s="108"/>
    </row>
    <row r="220" customFormat="false" ht="11.25" hidden="false" customHeight="false" outlineLevel="0" collapsed="false">
      <c r="L220" s="108"/>
      <c r="M220" s="146"/>
      <c r="N220" s="108"/>
      <c r="O220" s="108"/>
      <c r="P220" s="108"/>
      <c r="Q220" s="108"/>
      <c r="R220" s="108"/>
    </row>
    <row r="221" customFormat="false" ht="11.25" hidden="false" customHeight="false" outlineLevel="0" collapsed="false">
      <c r="L221" s="108"/>
      <c r="M221" s="146"/>
      <c r="N221" s="108"/>
      <c r="O221" s="108"/>
      <c r="P221" s="108"/>
      <c r="Q221" s="108"/>
      <c r="R221" s="108"/>
    </row>
    <row r="222" customFormat="false" ht="11.25" hidden="false" customHeight="false" outlineLevel="0" collapsed="false">
      <c r="L222" s="108"/>
      <c r="M222" s="146"/>
      <c r="N222" s="108"/>
      <c r="O222" s="108"/>
      <c r="P222" s="108"/>
      <c r="Q222" s="108"/>
      <c r="R222" s="108"/>
    </row>
    <row r="223" customFormat="false" ht="11.25" hidden="false" customHeight="false" outlineLevel="0" collapsed="false">
      <c r="L223" s="108"/>
      <c r="M223" s="146"/>
      <c r="N223" s="108"/>
      <c r="O223" s="108"/>
      <c r="P223" s="108"/>
      <c r="Q223" s="108"/>
      <c r="R223" s="108"/>
    </row>
    <row r="224" customFormat="false" ht="11.25" hidden="false" customHeight="false" outlineLevel="0" collapsed="false">
      <c r="L224" s="108"/>
      <c r="M224" s="146"/>
      <c r="N224" s="108"/>
      <c r="O224" s="108"/>
      <c r="P224" s="108"/>
      <c r="Q224" s="108"/>
      <c r="R224" s="108"/>
    </row>
    <row r="225" customFormat="false" ht="11.25" hidden="false" customHeight="false" outlineLevel="0" collapsed="false">
      <c r="L225" s="108"/>
      <c r="M225" s="146"/>
      <c r="N225" s="108"/>
      <c r="O225" s="108"/>
      <c r="P225" s="108"/>
      <c r="Q225" s="108"/>
      <c r="R225" s="108"/>
    </row>
    <row r="226" customFormat="false" ht="11.25" hidden="false" customHeight="false" outlineLevel="0" collapsed="false">
      <c r="L226" s="108"/>
      <c r="M226" s="146"/>
      <c r="N226" s="108"/>
      <c r="O226" s="108"/>
      <c r="P226" s="108"/>
      <c r="Q226" s="108"/>
      <c r="R226" s="108"/>
    </row>
    <row r="227" customFormat="false" ht="11.25" hidden="false" customHeight="false" outlineLevel="0" collapsed="false">
      <c r="L227" s="108"/>
      <c r="M227" s="146"/>
      <c r="N227" s="108"/>
      <c r="O227" s="108"/>
      <c r="P227" s="108"/>
      <c r="Q227" s="108"/>
      <c r="R227" s="108"/>
    </row>
    <row r="228" customFormat="false" ht="11.25" hidden="false" customHeight="false" outlineLevel="0" collapsed="false">
      <c r="L228" s="108"/>
      <c r="M228" s="146"/>
      <c r="N228" s="108"/>
      <c r="O228" s="108"/>
      <c r="P228" s="108"/>
      <c r="Q228" s="108"/>
      <c r="R228" s="108"/>
    </row>
    <row r="229" customFormat="false" ht="11.25" hidden="false" customHeight="false" outlineLevel="0" collapsed="false">
      <c r="L229" s="108"/>
      <c r="M229" s="146"/>
      <c r="N229" s="108"/>
      <c r="O229" s="108"/>
      <c r="P229" s="108"/>
      <c r="Q229" s="108"/>
      <c r="R229" s="108"/>
    </row>
    <row r="230" customFormat="false" ht="11.25" hidden="false" customHeight="false" outlineLevel="0" collapsed="false">
      <c r="L230" s="108"/>
      <c r="M230" s="146"/>
      <c r="N230" s="108"/>
      <c r="O230" s="108"/>
      <c r="P230" s="108"/>
      <c r="Q230" s="108"/>
      <c r="R230" s="108"/>
    </row>
    <row r="231" customFormat="false" ht="11.25" hidden="false" customHeight="false" outlineLevel="0" collapsed="false">
      <c r="L231" s="108"/>
      <c r="M231" s="146"/>
      <c r="N231" s="108"/>
      <c r="O231" s="108"/>
      <c r="P231" s="108"/>
      <c r="Q231" s="108"/>
      <c r="R231" s="108"/>
    </row>
    <row r="232" customFormat="false" ht="11.25" hidden="false" customHeight="false" outlineLevel="0" collapsed="false">
      <c r="L232" s="108"/>
      <c r="M232" s="146"/>
      <c r="N232" s="108"/>
      <c r="O232" s="108"/>
      <c r="P232" s="108"/>
      <c r="Q232" s="108"/>
      <c r="R232" s="108"/>
    </row>
    <row r="233" customFormat="false" ht="11.25" hidden="false" customHeight="false" outlineLevel="0" collapsed="false">
      <c r="L233" s="108"/>
      <c r="M233" s="146"/>
      <c r="N233" s="108"/>
      <c r="O233" s="108"/>
      <c r="P233" s="108"/>
      <c r="Q233" s="108"/>
      <c r="R233" s="108"/>
    </row>
    <row r="234" customFormat="false" ht="11.25" hidden="false" customHeight="false" outlineLevel="0" collapsed="false">
      <c r="L234" s="108"/>
      <c r="M234" s="146"/>
      <c r="N234" s="108"/>
      <c r="O234" s="108"/>
      <c r="P234" s="108"/>
      <c r="Q234" s="108"/>
      <c r="R234" s="108"/>
    </row>
    <row r="235" customFormat="false" ht="11.25" hidden="false" customHeight="false" outlineLevel="0" collapsed="false">
      <c r="L235" s="108"/>
      <c r="M235" s="146"/>
      <c r="N235" s="108"/>
      <c r="O235" s="108"/>
      <c r="P235" s="108"/>
      <c r="Q235" s="108"/>
      <c r="R235" s="108"/>
    </row>
    <row r="236" customFormat="false" ht="11.25" hidden="false" customHeight="false" outlineLevel="0" collapsed="false">
      <c r="L236" s="108"/>
      <c r="M236" s="146"/>
      <c r="N236" s="108"/>
      <c r="O236" s="108"/>
      <c r="P236" s="108"/>
      <c r="Q236" s="108"/>
      <c r="R236" s="108"/>
    </row>
    <row r="237" customFormat="false" ht="11.25" hidden="false" customHeight="false" outlineLevel="0" collapsed="false">
      <c r="L237" s="108"/>
      <c r="M237" s="146"/>
      <c r="N237" s="108"/>
      <c r="O237" s="108"/>
      <c r="P237" s="108"/>
      <c r="Q237" s="108"/>
      <c r="R237" s="108"/>
    </row>
    <row r="238" customFormat="false" ht="11.25" hidden="false" customHeight="false" outlineLevel="0" collapsed="false">
      <c r="L238" s="108"/>
      <c r="M238" s="146"/>
      <c r="N238" s="108"/>
      <c r="O238" s="108"/>
      <c r="P238" s="108"/>
      <c r="Q238" s="108"/>
      <c r="R238" s="108"/>
    </row>
    <row r="239" customFormat="false" ht="11.25" hidden="false" customHeight="false" outlineLevel="0" collapsed="false">
      <c r="L239" s="108"/>
      <c r="M239" s="146"/>
      <c r="N239" s="108"/>
      <c r="O239" s="108"/>
      <c r="P239" s="108"/>
      <c r="Q239" s="108"/>
      <c r="R239" s="108"/>
    </row>
    <row r="240" customFormat="false" ht="11.25" hidden="false" customHeight="false" outlineLevel="0" collapsed="false">
      <c r="L240" s="108"/>
      <c r="M240" s="146"/>
      <c r="N240" s="108"/>
      <c r="O240" s="108"/>
      <c r="P240" s="108"/>
      <c r="Q240" s="108"/>
      <c r="R240" s="108"/>
    </row>
    <row r="241" customFormat="false" ht="11.25" hidden="false" customHeight="false" outlineLevel="0" collapsed="false">
      <c r="L241" s="108"/>
      <c r="M241" s="146"/>
      <c r="N241" s="108"/>
      <c r="O241" s="108"/>
      <c r="P241" s="108"/>
      <c r="Q241" s="108"/>
      <c r="R241" s="108"/>
    </row>
    <row r="242" customFormat="false" ht="11.25" hidden="false" customHeight="false" outlineLevel="0" collapsed="false">
      <c r="L242" s="108"/>
      <c r="M242" s="146"/>
      <c r="N242" s="108"/>
      <c r="O242" s="108"/>
      <c r="P242" s="108"/>
      <c r="Q242" s="108"/>
      <c r="R242" s="108"/>
    </row>
    <row r="243" customFormat="false" ht="11.25" hidden="false" customHeight="false" outlineLevel="0" collapsed="false">
      <c r="L243" s="108"/>
      <c r="M243" s="146"/>
      <c r="N243" s="108"/>
      <c r="O243" s="108"/>
      <c r="P243" s="108"/>
      <c r="Q243" s="108"/>
      <c r="R243" s="108"/>
    </row>
    <row r="244" customFormat="false" ht="11.25" hidden="false" customHeight="false" outlineLevel="0" collapsed="false">
      <c r="L244" s="108"/>
      <c r="M244" s="146"/>
      <c r="N244" s="108"/>
      <c r="O244" s="108"/>
      <c r="P244" s="108"/>
      <c r="Q244" s="108"/>
      <c r="R244" s="108"/>
    </row>
    <row r="245" customFormat="false" ht="11.25" hidden="false" customHeight="false" outlineLevel="0" collapsed="false">
      <c r="L245" s="108"/>
      <c r="M245" s="146"/>
      <c r="N245" s="108"/>
      <c r="O245" s="108"/>
      <c r="P245" s="108"/>
      <c r="Q245" s="108"/>
      <c r="R245" s="108"/>
    </row>
    <row r="246" customFormat="false" ht="11.25" hidden="false" customHeight="false" outlineLevel="0" collapsed="false">
      <c r="L246" s="16"/>
      <c r="M246" s="149"/>
      <c r="O246" s="30"/>
      <c r="P246" s="30"/>
      <c r="Q246" s="30"/>
      <c r="R246" s="16"/>
    </row>
    <row r="247" customFormat="false" ht="11.25" hidden="false" customHeight="false" outlineLevel="0" collapsed="false">
      <c r="L247" s="108"/>
      <c r="O247" s="79"/>
      <c r="P247" s="79"/>
      <c r="Q247" s="79"/>
      <c r="R247" s="108"/>
    </row>
    <row r="248" customFormat="false" ht="11.25" hidden="false" customHeight="false" outlineLevel="0" collapsed="false">
      <c r="L248" s="150"/>
      <c r="O248" s="151"/>
      <c r="P248" s="16"/>
      <c r="Q248" s="151"/>
      <c r="R248" s="150"/>
    </row>
    <row r="249" customFormat="false" ht="11.25" hidden="false" customHeight="false" outlineLevel="0" collapsed="false">
      <c r="L249" s="108"/>
      <c r="O249" s="16"/>
      <c r="P249" s="16"/>
      <c r="Q249" s="16"/>
      <c r="R249" s="108"/>
    </row>
    <row r="250" customFormat="false" ht="11.25" hidden="false" customHeight="false" outlineLevel="0" collapsed="false">
      <c r="L250" s="184"/>
      <c r="M250" s="152"/>
      <c r="O250" s="153"/>
      <c r="P250" s="153"/>
      <c r="Q250" s="153"/>
      <c r="R250" s="184"/>
    </row>
    <row r="251" customFormat="false" ht="11.25" hidden="false" customHeight="false" outlineLevel="0" collapsed="false">
      <c r="L251" s="184"/>
      <c r="M251" s="152"/>
      <c r="O251" s="153"/>
      <c r="P251" s="153"/>
      <c r="Q251" s="153"/>
      <c r="R251" s="184"/>
    </row>
    <row r="253" customFormat="false" ht="11.25" hidden="false" customHeight="false" outlineLevel="0" collapsed="false">
      <c r="M253" s="143"/>
    </row>
    <row r="254" customFormat="false" ht="11.25" hidden="false" customHeight="false" outlineLevel="0" collapsed="false">
      <c r="M254" s="19"/>
      <c r="N254" s="19"/>
      <c r="P254" s="100"/>
      <c r="Q254" s="100"/>
      <c r="R254" s="100"/>
    </row>
    <row r="255" customFormat="false" ht="11.25" hidden="false" customHeight="false" outlineLevel="0" collapsed="false">
      <c r="M255" s="24"/>
      <c r="N255" s="101"/>
      <c r="O255" s="101"/>
      <c r="P255" s="101"/>
      <c r="Q255" s="101"/>
      <c r="R255" s="101"/>
    </row>
    <row r="256" customFormat="false" ht="14.45" hidden="false" customHeight="true" outlineLevel="0" collapsed="false">
      <c r="M256" s="146"/>
      <c r="N256" s="108"/>
      <c r="O256" s="108"/>
      <c r="P256" s="108"/>
      <c r="Q256" s="108"/>
      <c r="R256" s="108"/>
      <c r="S256" s="63"/>
    </row>
    <row r="257" customFormat="false" ht="14.45" hidden="false" customHeight="true" outlineLevel="0" collapsed="false">
      <c r="M257" s="146"/>
      <c r="N257" s="108"/>
      <c r="O257" s="108"/>
      <c r="P257" s="108"/>
      <c r="Q257" s="108"/>
      <c r="R257" s="108"/>
      <c r="S257" s="63"/>
    </row>
    <row r="258" customFormat="false" ht="14.45" hidden="false" customHeight="true" outlineLevel="0" collapsed="false">
      <c r="M258" s="146"/>
      <c r="N258" s="108"/>
      <c r="O258" s="108"/>
      <c r="P258" s="108"/>
      <c r="Q258" s="108"/>
      <c r="R258" s="108"/>
      <c r="S258" s="63"/>
    </row>
    <row r="259" customFormat="false" ht="14.45" hidden="false" customHeight="true" outlineLevel="0" collapsed="false">
      <c r="M259" s="146"/>
      <c r="N259" s="108"/>
      <c r="O259" s="108"/>
      <c r="P259" s="108"/>
      <c r="Q259" s="108"/>
      <c r="R259" s="108"/>
      <c r="S259" s="63"/>
    </row>
    <row r="260" customFormat="false" ht="14.45" hidden="false" customHeight="true" outlineLevel="0" collapsed="false">
      <c r="M260" s="146"/>
      <c r="N260" s="108"/>
      <c r="O260" s="108"/>
      <c r="P260" s="108"/>
      <c r="Q260" s="108"/>
      <c r="R260" s="108"/>
      <c r="S260" s="63"/>
    </row>
    <row r="261" customFormat="false" ht="14.45" hidden="false" customHeight="true" outlineLevel="0" collapsed="false">
      <c r="M261" s="146"/>
      <c r="N261" s="108"/>
      <c r="O261" s="108"/>
      <c r="P261" s="108"/>
      <c r="Q261" s="108"/>
      <c r="R261" s="108"/>
      <c r="S261" s="63"/>
    </row>
    <row r="262" customFormat="false" ht="14.45" hidden="false" customHeight="true" outlineLevel="0" collapsed="false">
      <c r="M262" s="146"/>
      <c r="N262" s="108"/>
      <c r="O262" s="108"/>
      <c r="P262" s="108"/>
      <c r="Q262" s="108"/>
      <c r="R262" s="108"/>
      <c r="S262" s="63"/>
    </row>
    <row r="263" customFormat="false" ht="14.45" hidden="false" customHeight="true" outlineLevel="0" collapsed="false">
      <c r="M263" s="146"/>
      <c r="N263" s="108"/>
      <c r="O263" s="108"/>
      <c r="P263" s="108"/>
      <c r="Q263" s="108"/>
      <c r="R263" s="108"/>
      <c r="S263" s="63"/>
    </row>
    <row r="264" customFormat="false" ht="14.45" hidden="false" customHeight="true" outlineLevel="0" collapsed="false">
      <c r="M264" s="146"/>
      <c r="N264" s="108"/>
      <c r="O264" s="108"/>
      <c r="P264" s="108"/>
      <c r="Q264" s="108"/>
      <c r="R264" s="108"/>
      <c r="S264" s="63"/>
    </row>
    <row r="265" customFormat="false" ht="14.45" hidden="false" customHeight="true" outlineLevel="0" collapsed="false">
      <c r="M265" s="146"/>
      <c r="N265" s="108"/>
      <c r="O265" s="108"/>
      <c r="P265" s="108"/>
      <c r="Q265" s="108"/>
      <c r="R265" s="108"/>
      <c r="S265" s="63"/>
    </row>
    <row r="266" customFormat="false" ht="14.45" hidden="false" customHeight="true" outlineLevel="0" collapsed="false">
      <c r="M266" s="146"/>
      <c r="N266" s="108"/>
      <c r="O266" s="108"/>
      <c r="P266" s="108"/>
      <c r="Q266" s="108"/>
      <c r="R266" s="108"/>
      <c r="S266" s="63"/>
    </row>
    <row r="267" customFormat="false" ht="14.45" hidden="false" customHeight="true" outlineLevel="0" collapsed="false">
      <c r="M267" s="146"/>
      <c r="N267" s="108"/>
      <c r="O267" s="108"/>
      <c r="P267" s="108"/>
      <c r="Q267" s="108"/>
      <c r="R267" s="108"/>
      <c r="S267" s="63"/>
    </row>
    <row r="268" customFormat="false" ht="14.45" hidden="false" customHeight="true" outlineLevel="0" collapsed="false">
      <c r="M268" s="146"/>
      <c r="N268" s="108"/>
      <c r="O268" s="108"/>
      <c r="P268" s="108"/>
      <c r="Q268" s="108"/>
      <c r="R268" s="108"/>
      <c r="S268" s="63"/>
    </row>
    <row r="269" customFormat="false" ht="14.45" hidden="false" customHeight="true" outlineLevel="0" collapsed="false">
      <c r="M269" s="146"/>
      <c r="N269" s="108"/>
      <c r="O269" s="108"/>
      <c r="P269" s="108"/>
      <c r="Q269" s="108"/>
      <c r="R269" s="108"/>
      <c r="S269" s="63"/>
    </row>
    <row r="270" customFormat="false" ht="14.45" hidden="false" customHeight="true" outlineLevel="0" collapsed="false">
      <c r="M270" s="146"/>
      <c r="N270" s="108"/>
      <c r="O270" s="108"/>
      <c r="P270" s="108"/>
      <c r="Q270" s="108"/>
      <c r="R270" s="108"/>
      <c r="S270" s="63"/>
    </row>
    <row r="271" customFormat="false" ht="14.45" hidden="false" customHeight="true" outlineLevel="0" collapsed="false">
      <c r="M271" s="146"/>
      <c r="N271" s="108"/>
      <c r="O271" s="108"/>
      <c r="P271" s="108"/>
      <c r="Q271" s="108"/>
      <c r="R271" s="108"/>
      <c r="S271" s="63"/>
    </row>
    <row r="272" customFormat="false" ht="14.45" hidden="false" customHeight="true" outlineLevel="0" collapsed="false">
      <c r="M272" s="146"/>
      <c r="N272" s="108"/>
      <c r="O272" s="108"/>
      <c r="P272" s="108"/>
      <c r="Q272" s="108"/>
      <c r="R272" s="108"/>
      <c r="S272" s="63"/>
    </row>
    <row r="273" customFormat="false" ht="14.45" hidden="false" customHeight="true" outlineLevel="0" collapsed="false">
      <c r="M273" s="146"/>
      <c r="N273" s="108"/>
      <c r="O273" s="108"/>
      <c r="P273" s="108"/>
      <c r="Q273" s="108"/>
      <c r="R273" s="108"/>
      <c r="S273" s="63"/>
    </row>
    <row r="274" customFormat="false" ht="14.45" hidden="false" customHeight="true" outlineLevel="0" collapsed="false">
      <c r="M274" s="146"/>
      <c r="N274" s="108"/>
      <c r="O274" s="108"/>
      <c r="P274" s="108"/>
      <c r="Q274" s="108"/>
      <c r="R274" s="108"/>
      <c r="S274" s="63"/>
    </row>
    <row r="275" customFormat="false" ht="14.45" hidden="false" customHeight="true" outlineLevel="0" collapsed="false">
      <c r="M275" s="146"/>
      <c r="N275" s="108"/>
      <c r="O275" s="108"/>
      <c r="P275" s="108"/>
      <c r="Q275" s="108"/>
      <c r="R275" s="108"/>
      <c r="S275" s="63"/>
    </row>
    <row r="276" customFormat="false" ht="14.45" hidden="false" customHeight="true" outlineLevel="0" collapsed="false">
      <c r="M276" s="146"/>
      <c r="N276" s="108"/>
      <c r="O276" s="108"/>
      <c r="P276" s="108"/>
      <c r="Q276" s="108"/>
      <c r="R276" s="108"/>
      <c r="S276" s="63"/>
    </row>
    <row r="277" customFormat="false" ht="14.45" hidden="false" customHeight="true" outlineLevel="0" collapsed="false">
      <c r="M277" s="146"/>
      <c r="N277" s="108"/>
      <c r="O277" s="108"/>
      <c r="P277" s="108"/>
      <c r="Q277" s="108"/>
      <c r="R277" s="108"/>
      <c r="S277" s="63"/>
    </row>
    <row r="278" customFormat="false" ht="14.45" hidden="false" customHeight="true" outlineLevel="0" collapsed="false">
      <c r="M278" s="146"/>
      <c r="N278" s="108"/>
      <c r="O278" s="108"/>
      <c r="P278" s="108"/>
      <c r="Q278" s="108"/>
      <c r="R278" s="108"/>
      <c r="S278" s="63"/>
    </row>
    <row r="279" customFormat="false" ht="14.45" hidden="false" customHeight="true" outlineLevel="0" collapsed="false">
      <c r="M279" s="146"/>
      <c r="N279" s="108"/>
      <c r="O279" s="108"/>
      <c r="P279" s="108"/>
      <c r="Q279" s="108"/>
      <c r="R279" s="108"/>
      <c r="S279" s="63"/>
    </row>
    <row r="280" customFormat="false" ht="14.45" hidden="false" customHeight="true" outlineLevel="0" collapsed="false">
      <c r="M280" s="146"/>
      <c r="N280" s="108"/>
      <c r="O280" s="108"/>
      <c r="P280" s="108"/>
      <c r="Q280" s="108"/>
      <c r="R280" s="108"/>
      <c r="S280" s="63"/>
    </row>
    <row r="281" customFormat="false" ht="14.45" hidden="false" customHeight="true" outlineLevel="0" collapsed="false">
      <c r="M281" s="146"/>
      <c r="N281" s="108"/>
      <c r="O281" s="108"/>
      <c r="P281" s="108"/>
      <c r="Q281" s="108"/>
      <c r="R281" s="108"/>
    </row>
    <row r="282" customFormat="false" ht="14.45" hidden="false" customHeight="true" outlineLevel="0" collapsed="false">
      <c r="M282" s="146"/>
      <c r="N282" s="108"/>
      <c r="O282" s="108"/>
      <c r="P282" s="108"/>
      <c r="Q282" s="108"/>
      <c r="R282" s="108"/>
    </row>
    <row r="283" customFormat="false" ht="14.45" hidden="false" customHeight="true" outlineLevel="0" collapsed="false">
      <c r="M283" s="146"/>
      <c r="N283" s="108"/>
      <c r="O283" s="108"/>
      <c r="P283" s="108"/>
      <c r="Q283" s="108"/>
      <c r="R283" s="108"/>
    </row>
    <row r="284" customFormat="false" ht="14.45" hidden="false" customHeight="true" outlineLevel="0" collapsed="false">
      <c r="M284" s="146"/>
      <c r="N284" s="108"/>
      <c r="O284" s="108"/>
      <c r="P284" s="108"/>
      <c r="Q284" s="108"/>
      <c r="R284" s="108"/>
    </row>
    <row r="285" customFormat="false" ht="14.45" hidden="false" customHeight="true" outlineLevel="0" collapsed="false">
      <c r="M285" s="146"/>
      <c r="N285" s="108"/>
      <c r="O285" s="108"/>
      <c r="P285" s="108"/>
      <c r="Q285" s="108"/>
      <c r="R285" s="108"/>
    </row>
    <row r="286" customFormat="false" ht="14.45" hidden="false" customHeight="true" outlineLevel="0" collapsed="false">
      <c r="M286" s="146"/>
      <c r="N286" s="108"/>
      <c r="O286" s="108"/>
      <c r="P286" s="108"/>
      <c r="Q286" s="108"/>
      <c r="R286" s="108"/>
    </row>
    <row r="287" customFormat="false" ht="14.45" hidden="false" customHeight="true" outlineLevel="0" collapsed="false">
      <c r="M287" s="146"/>
      <c r="N287" s="108"/>
      <c r="O287" s="108"/>
      <c r="P287" s="108"/>
      <c r="Q287" s="108"/>
      <c r="R287" s="108"/>
    </row>
    <row r="288" customFormat="false" ht="14.45" hidden="false" customHeight="true" outlineLevel="0" collapsed="false">
      <c r="M288" s="149"/>
      <c r="O288" s="30"/>
      <c r="P288" s="30"/>
      <c r="Q288" s="30"/>
      <c r="R288" s="16"/>
    </row>
    <row r="289" customFormat="false" ht="14.45" hidden="false" customHeight="true" outlineLevel="0" collapsed="false">
      <c r="O289" s="79"/>
      <c r="P289" s="79"/>
      <c r="Q289" s="79"/>
      <c r="R289" s="108"/>
    </row>
    <row r="290" customFormat="false" ht="14.45" hidden="false" customHeight="true" outlineLevel="0" collapsed="false">
      <c r="O290" s="151"/>
      <c r="P290" s="16"/>
      <c r="Q290" s="151"/>
      <c r="R290" s="150"/>
    </row>
    <row r="291" customFormat="false" ht="11.25" hidden="false" customHeight="false" outlineLevel="0" collapsed="false">
      <c r="O291" s="16"/>
      <c r="P291" s="16"/>
      <c r="Q291" s="16"/>
      <c r="R291" s="108"/>
    </row>
    <row r="292" customFormat="false" ht="11.25" hidden="false" customHeight="false" outlineLevel="0" collapsed="false">
      <c r="M292" s="152"/>
      <c r="O292" s="153"/>
      <c r="P292" s="153"/>
      <c r="Q292" s="153"/>
      <c r="R292" s="184"/>
    </row>
    <row r="293" customFormat="false" ht="11.25" hidden="false" customHeight="false" outlineLevel="0" collapsed="false">
      <c r="M293" s="152"/>
      <c r="O293" s="153"/>
      <c r="P293" s="153"/>
      <c r="Q293" s="153"/>
      <c r="R293" s="184"/>
    </row>
    <row r="295" customFormat="false" ht="11.25" hidden="false" customHeight="false" outlineLevel="0" collapsed="false">
      <c r="M295" s="143"/>
      <c r="S295" s="143"/>
    </row>
    <row r="296" customFormat="false" ht="11.25" hidden="false" customHeight="false" outlineLevel="0" collapsed="false">
      <c r="M296" s="19"/>
      <c r="N296" s="19"/>
      <c r="P296" s="100"/>
      <c r="Q296" s="100"/>
      <c r="R296" s="100"/>
      <c r="S296" s="19"/>
      <c r="T296" s="19"/>
      <c r="V296" s="100"/>
      <c r="W296" s="100"/>
      <c r="X296" s="100"/>
    </row>
    <row r="297" customFormat="false" ht="11.25" hidden="false" customHeight="false" outlineLevel="0" collapsed="false">
      <c r="M297" s="24"/>
      <c r="N297" s="101"/>
      <c r="O297" s="101"/>
      <c r="P297" s="101"/>
      <c r="Q297" s="101"/>
      <c r="R297" s="101"/>
      <c r="S297" s="24"/>
      <c r="T297" s="101"/>
      <c r="U297" s="101"/>
      <c r="V297" s="101"/>
      <c r="W297" s="101"/>
      <c r="X297" s="101"/>
    </row>
    <row r="298" customFormat="false" ht="11.25" hidden="false" customHeight="false" outlineLevel="0" collapsed="false">
      <c r="M298" s="146"/>
      <c r="N298" s="108"/>
      <c r="O298" s="108"/>
      <c r="P298" s="108"/>
      <c r="Q298" s="108"/>
      <c r="R298" s="120"/>
      <c r="S298" s="146"/>
      <c r="T298" s="108"/>
      <c r="U298" s="108"/>
      <c r="V298" s="108"/>
      <c r="W298" s="108"/>
      <c r="X298" s="120"/>
    </row>
    <row r="299" customFormat="false" ht="11.25" hidden="false" customHeight="false" outlineLevel="0" collapsed="false">
      <c r="M299" s="146"/>
      <c r="N299" s="108"/>
      <c r="O299" s="108"/>
      <c r="P299" s="108"/>
      <c r="Q299" s="108"/>
      <c r="R299" s="120"/>
      <c r="S299" s="146"/>
      <c r="T299" s="108"/>
      <c r="U299" s="108"/>
      <c r="V299" s="108"/>
      <c r="W299" s="108"/>
      <c r="X299" s="120"/>
    </row>
    <row r="300" customFormat="false" ht="11.25" hidden="false" customHeight="false" outlineLevel="0" collapsed="false">
      <c r="M300" s="146"/>
      <c r="N300" s="108"/>
      <c r="O300" s="108"/>
      <c r="P300" s="108"/>
      <c r="Q300" s="108"/>
      <c r="R300" s="120"/>
      <c r="S300" s="146"/>
      <c r="T300" s="108"/>
      <c r="U300" s="108"/>
      <c r="V300" s="108"/>
      <c r="W300" s="108"/>
      <c r="X300" s="120"/>
    </row>
    <row r="301" customFormat="false" ht="11.25" hidden="false" customHeight="false" outlineLevel="0" collapsed="false">
      <c r="M301" s="146"/>
      <c r="N301" s="108"/>
      <c r="O301" s="108"/>
      <c r="P301" s="108"/>
      <c r="Q301" s="108"/>
      <c r="R301" s="120"/>
      <c r="S301" s="146"/>
      <c r="T301" s="108"/>
      <c r="U301" s="108"/>
      <c r="V301" s="108"/>
      <c r="W301" s="108"/>
      <c r="X301" s="120"/>
    </row>
    <row r="302" customFormat="false" ht="11.25" hidden="false" customHeight="false" outlineLevel="0" collapsed="false">
      <c r="M302" s="146"/>
      <c r="N302" s="108"/>
      <c r="O302" s="108"/>
      <c r="P302" s="108"/>
      <c r="Q302" s="108"/>
      <c r="R302" s="120"/>
      <c r="S302" s="146"/>
      <c r="T302" s="108"/>
      <c r="U302" s="108"/>
      <c r="V302" s="108"/>
      <c r="W302" s="108"/>
      <c r="X302" s="120"/>
    </row>
    <row r="303" customFormat="false" ht="11.25" hidden="false" customHeight="false" outlineLevel="0" collapsed="false">
      <c r="M303" s="146"/>
      <c r="N303" s="108"/>
      <c r="O303" s="108"/>
      <c r="P303" s="108"/>
      <c r="Q303" s="108"/>
      <c r="R303" s="120"/>
      <c r="S303" s="146"/>
      <c r="T303" s="108"/>
      <c r="U303" s="108"/>
      <c r="V303" s="108"/>
      <c r="W303" s="108"/>
      <c r="X303" s="120"/>
    </row>
    <row r="304" customFormat="false" ht="11.25" hidden="false" customHeight="false" outlineLevel="0" collapsed="false">
      <c r="M304" s="146"/>
      <c r="N304" s="108"/>
      <c r="O304" s="108"/>
      <c r="P304" s="108"/>
      <c r="Q304" s="108"/>
      <c r="R304" s="120"/>
      <c r="S304" s="146"/>
      <c r="T304" s="108"/>
      <c r="U304" s="108"/>
      <c r="V304" s="108"/>
      <c r="W304" s="108"/>
      <c r="X304" s="120"/>
    </row>
    <row r="305" customFormat="false" ht="11.25" hidden="false" customHeight="false" outlineLevel="0" collapsed="false">
      <c r="M305" s="146"/>
      <c r="N305" s="108"/>
      <c r="O305" s="108"/>
      <c r="P305" s="108"/>
      <c r="Q305" s="108"/>
      <c r="R305" s="120"/>
      <c r="S305" s="146"/>
      <c r="T305" s="108"/>
      <c r="U305" s="108"/>
      <c r="V305" s="108"/>
      <c r="W305" s="108"/>
      <c r="X305" s="120"/>
    </row>
    <row r="306" customFormat="false" ht="11.25" hidden="false" customHeight="false" outlineLevel="0" collapsed="false">
      <c r="M306" s="146"/>
      <c r="N306" s="108"/>
      <c r="O306" s="108"/>
      <c r="P306" s="108"/>
      <c r="Q306" s="108"/>
      <c r="R306" s="120"/>
      <c r="S306" s="146"/>
      <c r="T306" s="108"/>
      <c r="U306" s="108"/>
      <c r="V306" s="108"/>
      <c r="W306" s="108"/>
      <c r="X306" s="120"/>
    </row>
    <row r="307" customFormat="false" ht="11.25" hidden="false" customHeight="false" outlineLevel="0" collapsed="false">
      <c r="M307" s="146"/>
      <c r="N307" s="108"/>
      <c r="O307" s="108"/>
      <c r="P307" s="108"/>
      <c r="Q307" s="108"/>
      <c r="R307" s="120"/>
      <c r="S307" s="146"/>
      <c r="T307" s="108"/>
      <c r="U307" s="108"/>
      <c r="V307" s="108"/>
      <c r="W307" s="108"/>
      <c r="X307" s="120"/>
    </row>
    <row r="308" customFormat="false" ht="11.25" hidden="false" customHeight="false" outlineLevel="0" collapsed="false">
      <c r="M308" s="146"/>
      <c r="N308" s="108"/>
      <c r="O308" s="108"/>
      <c r="P308" s="108"/>
      <c r="Q308" s="108"/>
      <c r="R308" s="120"/>
      <c r="S308" s="146"/>
      <c r="T308" s="108"/>
      <c r="U308" s="108"/>
      <c r="V308" s="108"/>
      <c r="W308" s="108"/>
      <c r="X308" s="120"/>
    </row>
    <row r="309" customFormat="false" ht="11.25" hidden="false" customHeight="false" outlineLevel="0" collapsed="false">
      <c r="M309" s="146"/>
      <c r="N309" s="108"/>
      <c r="O309" s="108"/>
      <c r="P309" s="108"/>
      <c r="Q309" s="108"/>
      <c r="R309" s="120"/>
      <c r="S309" s="146"/>
      <c r="T309" s="108"/>
      <c r="U309" s="108"/>
      <c r="V309" s="108"/>
      <c r="W309" s="108"/>
      <c r="X309" s="120"/>
    </row>
    <row r="310" customFormat="false" ht="11.25" hidden="false" customHeight="false" outlineLevel="0" collapsed="false">
      <c r="M310" s="146"/>
      <c r="N310" s="108"/>
      <c r="O310" s="108"/>
      <c r="P310" s="108"/>
      <c r="Q310" s="108"/>
      <c r="R310" s="120"/>
      <c r="S310" s="146"/>
      <c r="T310" s="108"/>
      <c r="U310" s="108"/>
      <c r="V310" s="108"/>
      <c r="W310" s="108"/>
      <c r="X310" s="120"/>
    </row>
    <row r="311" customFormat="false" ht="11.25" hidden="false" customHeight="false" outlineLevel="0" collapsed="false">
      <c r="M311" s="146"/>
      <c r="N311" s="108"/>
      <c r="O311" s="108"/>
      <c r="P311" s="108"/>
      <c r="Q311" s="108"/>
      <c r="R311" s="120"/>
      <c r="S311" s="146"/>
      <c r="T311" s="108"/>
      <c r="U311" s="108"/>
      <c r="V311" s="108"/>
      <c r="W311" s="108"/>
      <c r="X311" s="120"/>
    </row>
    <row r="312" customFormat="false" ht="11.25" hidden="false" customHeight="false" outlineLevel="0" collapsed="false">
      <c r="M312" s="146"/>
      <c r="N312" s="108"/>
      <c r="O312" s="108"/>
      <c r="P312" s="108"/>
      <c r="Q312" s="108"/>
      <c r="R312" s="120"/>
      <c r="S312" s="146"/>
      <c r="T312" s="108"/>
      <c r="U312" s="108"/>
      <c r="V312" s="108"/>
      <c r="W312" s="108"/>
      <c r="X312" s="120"/>
    </row>
    <row r="313" customFormat="false" ht="11.25" hidden="false" customHeight="false" outlineLevel="0" collapsed="false">
      <c r="M313" s="146"/>
      <c r="N313" s="108"/>
      <c r="O313" s="108"/>
      <c r="P313" s="108"/>
      <c r="Q313" s="108"/>
      <c r="R313" s="120"/>
      <c r="S313" s="146"/>
      <c r="T313" s="108"/>
      <c r="U313" s="108"/>
      <c r="V313" s="108"/>
      <c r="W313" s="108"/>
      <c r="X313" s="120"/>
    </row>
    <row r="314" customFormat="false" ht="11.25" hidden="false" customHeight="false" outlineLevel="0" collapsed="false">
      <c r="M314" s="146"/>
      <c r="N314" s="108"/>
      <c r="O314" s="108"/>
      <c r="P314" s="108"/>
      <c r="Q314" s="108"/>
      <c r="R314" s="120"/>
      <c r="S314" s="146"/>
      <c r="T314" s="108"/>
      <c r="U314" s="108"/>
      <c r="V314" s="108"/>
      <c r="W314" s="108"/>
      <c r="X314" s="120"/>
    </row>
    <row r="315" customFormat="false" ht="11.25" hidden="false" customHeight="false" outlineLevel="0" collapsed="false">
      <c r="M315" s="146"/>
      <c r="N315" s="108"/>
      <c r="O315" s="108"/>
      <c r="P315" s="108"/>
      <c r="Q315" s="108"/>
      <c r="R315" s="120"/>
      <c r="S315" s="146"/>
      <c r="T315" s="108"/>
      <c r="U315" s="108"/>
      <c r="V315" s="108"/>
      <c r="W315" s="108"/>
      <c r="X315" s="120"/>
    </row>
    <row r="316" customFormat="false" ht="11.25" hidden="false" customHeight="false" outlineLevel="0" collapsed="false">
      <c r="M316" s="146"/>
      <c r="N316" s="108"/>
      <c r="O316" s="108"/>
      <c r="P316" s="108"/>
      <c r="Q316" s="108"/>
      <c r="R316" s="120"/>
      <c r="S316" s="146"/>
      <c r="T316" s="108"/>
      <c r="U316" s="108"/>
      <c r="V316" s="108"/>
      <c r="W316" s="108"/>
      <c r="X316" s="120"/>
    </row>
    <row r="317" customFormat="false" ht="11.25" hidden="false" customHeight="false" outlineLevel="0" collapsed="false">
      <c r="M317" s="146"/>
      <c r="N317" s="108"/>
      <c r="O317" s="108"/>
      <c r="P317" s="108"/>
      <c r="Q317" s="108"/>
      <c r="R317" s="120"/>
      <c r="S317" s="146"/>
      <c r="T317" s="108"/>
      <c r="U317" s="108"/>
      <c r="V317" s="108"/>
      <c r="W317" s="108"/>
      <c r="X317" s="120"/>
    </row>
    <row r="318" customFormat="false" ht="11.25" hidden="false" customHeight="false" outlineLevel="0" collapsed="false">
      <c r="M318" s="146"/>
      <c r="N318" s="108"/>
      <c r="O318" s="108"/>
      <c r="P318" s="108"/>
      <c r="Q318" s="108"/>
      <c r="R318" s="120"/>
      <c r="S318" s="146"/>
      <c r="T318" s="108"/>
      <c r="U318" s="108"/>
      <c r="V318" s="108"/>
      <c r="W318" s="108"/>
      <c r="X318" s="120"/>
    </row>
    <row r="319" customFormat="false" ht="11.25" hidden="false" customHeight="false" outlineLevel="0" collapsed="false">
      <c r="M319" s="146"/>
      <c r="N319" s="108"/>
      <c r="O319" s="108"/>
      <c r="P319" s="108"/>
      <c r="Q319" s="108"/>
      <c r="R319" s="120"/>
      <c r="S319" s="146"/>
      <c r="T319" s="108"/>
      <c r="U319" s="108"/>
      <c r="V319" s="108"/>
      <c r="W319" s="108"/>
      <c r="X319" s="120"/>
    </row>
    <row r="320" customFormat="false" ht="11.25" hidden="false" customHeight="false" outlineLevel="0" collapsed="false">
      <c r="M320" s="146"/>
      <c r="N320" s="108"/>
      <c r="O320" s="108"/>
      <c r="P320" s="108"/>
      <c r="Q320" s="108"/>
      <c r="R320" s="120"/>
      <c r="S320" s="146"/>
      <c r="T320" s="108"/>
      <c r="U320" s="108"/>
      <c r="V320" s="108"/>
      <c r="W320" s="108"/>
      <c r="X320" s="120"/>
    </row>
    <row r="321" customFormat="false" ht="11.25" hidden="false" customHeight="false" outlineLevel="0" collapsed="false">
      <c r="M321" s="146"/>
      <c r="N321" s="108"/>
      <c r="O321" s="108"/>
      <c r="P321" s="108"/>
      <c r="Q321" s="108"/>
      <c r="R321" s="120"/>
      <c r="S321" s="146"/>
      <c r="T321" s="108"/>
      <c r="U321" s="108"/>
      <c r="V321" s="108"/>
      <c r="W321" s="108"/>
      <c r="X321" s="120"/>
    </row>
    <row r="322" customFormat="false" ht="11.25" hidden="false" customHeight="false" outlineLevel="0" collapsed="false">
      <c r="M322" s="146"/>
      <c r="N322" s="108"/>
      <c r="O322" s="108"/>
      <c r="P322" s="108"/>
      <c r="Q322" s="108"/>
      <c r="R322" s="120"/>
      <c r="S322" s="146"/>
      <c r="T322" s="108"/>
      <c r="U322" s="108"/>
      <c r="V322" s="108"/>
      <c r="W322" s="108"/>
      <c r="X322" s="120"/>
    </row>
    <row r="323" customFormat="false" ht="11.25" hidden="false" customHeight="false" outlineLevel="0" collapsed="false">
      <c r="M323" s="146"/>
      <c r="N323" s="108"/>
      <c r="O323" s="108"/>
      <c r="P323" s="108"/>
      <c r="Q323" s="108"/>
      <c r="R323" s="120"/>
      <c r="S323" s="146"/>
      <c r="T323" s="108"/>
      <c r="U323" s="108"/>
      <c r="V323" s="108"/>
      <c r="W323" s="108"/>
      <c r="X323" s="120"/>
    </row>
    <row r="324" customFormat="false" ht="11.25" hidden="false" customHeight="false" outlineLevel="0" collapsed="false">
      <c r="M324" s="146"/>
      <c r="N324" s="108"/>
      <c r="O324" s="108"/>
      <c r="P324" s="108"/>
      <c r="Q324" s="108"/>
      <c r="R324" s="120"/>
      <c r="S324" s="146"/>
      <c r="T324" s="108"/>
      <c r="U324" s="108"/>
      <c r="V324" s="108"/>
      <c r="W324" s="108"/>
      <c r="X324" s="120"/>
    </row>
    <row r="325" customFormat="false" ht="11.25" hidden="false" customHeight="false" outlineLevel="0" collapsed="false">
      <c r="M325" s="146"/>
      <c r="N325" s="108"/>
      <c r="O325" s="108"/>
      <c r="P325" s="108"/>
      <c r="Q325" s="108"/>
      <c r="R325" s="120"/>
      <c r="S325" s="146"/>
      <c r="T325" s="108"/>
      <c r="U325" s="108"/>
      <c r="V325" s="108"/>
      <c r="W325" s="108"/>
      <c r="X325" s="120"/>
    </row>
    <row r="326" customFormat="false" ht="11.25" hidden="false" customHeight="false" outlineLevel="0" collapsed="false">
      <c r="M326" s="146"/>
      <c r="N326" s="108"/>
      <c r="O326" s="108"/>
      <c r="P326" s="108"/>
      <c r="Q326" s="108"/>
      <c r="R326" s="120"/>
      <c r="S326" s="146"/>
      <c r="T326" s="108"/>
      <c r="U326" s="108"/>
      <c r="V326" s="108"/>
      <c r="W326" s="108"/>
      <c r="X326" s="120"/>
    </row>
    <row r="327" customFormat="false" ht="11.25" hidden="false" customHeight="false" outlineLevel="0" collapsed="false">
      <c r="M327" s="146"/>
      <c r="N327" s="108"/>
      <c r="O327" s="108"/>
      <c r="P327" s="108"/>
      <c r="Q327" s="108"/>
      <c r="R327" s="120"/>
      <c r="S327" s="146"/>
      <c r="T327" s="108"/>
      <c r="U327" s="108"/>
      <c r="V327" s="108"/>
      <c r="W327" s="108"/>
      <c r="X327" s="120"/>
    </row>
    <row r="328" customFormat="false" ht="11.25" hidden="false" customHeight="false" outlineLevel="0" collapsed="false">
      <c r="M328" s="146"/>
      <c r="N328" s="108"/>
      <c r="O328" s="108"/>
      <c r="P328" s="108"/>
      <c r="Q328" s="108"/>
      <c r="R328" s="120"/>
      <c r="S328" s="146"/>
      <c r="T328" s="108"/>
      <c r="U328" s="108"/>
      <c r="V328" s="108"/>
      <c r="W328" s="108"/>
      <c r="X328" s="120"/>
    </row>
    <row r="329" customFormat="false" ht="11.25" hidden="false" customHeight="false" outlineLevel="0" collapsed="false">
      <c r="M329" s="146"/>
      <c r="N329" s="108"/>
      <c r="O329" s="108"/>
      <c r="P329" s="108"/>
      <c r="Q329" s="108"/>
      <c r="R329" s="108"/>
      <c r="S329" s="146"/>
      <c r="T329" s="108"/>
      <c r="U329" s="108"/>
      <c r="V329" s="108"/>
      <c r="W329" s="108"/>
      <c r="X329" s="108"/>
    </row>
    <row r="330" customFormat="false" ht="11.25" hidden="false" customHeight="false" outlineLevel="0" collapsed="false">
      <c r="M330" s="149"/>
      <c r="O330" s="30"/>
      <c r="P330" s="30"/>
      <c r="Q330" s="30"/>
      <c r="R330" s="16"/>
      <c r="S330" s="149"/>
      <c r="U330" s="30"/>
      <c r="V330" s="30"/>
      <c r="W330" s="30"/>
      <c r="X330" s="16"/>
    </row>
    <row r="331" customFormat="false" ht="11.25" hidden="false" customHeight="false" outlineLevel="0" collapsed="false">
      <c r="O331" s="79"/>
      <c r="P331" s="79"/>
      <c r="Q331" s="79"/>
      <c r="R331" s="108"/>
      <c r="U331" s="79"/>
      <c r="V331" s="79"/>
      <c r="W331" s="79"/>
      <c r="X331" s="108"/>
    </row>
    <row r="332" customFormat="false" ht="11.25" hidden="false" customHeight="false" outlineLevel="0" collapsed="false">
      <c r="O332" s="151"/>
      <c r="P332" s="16"/>
      <c r="Q332" s="151"/>
      <c r="R332" s="150"/>
      <c r="U332" s="151"/>
      <c r="V332" s="16"/>
      <c r="W332" s="151"/>
      <c r="X332" s="150"/>
    </row>
    <row r="333" customFormat="false" ht="11.25" hidden="false" customHeight="false" outlineLevel="0" collapsed="false">
      <c r="O333" s="16"/>
      <c r="P333" s="16"/>
      <c r="Q333" s="16"/>
      <c r="R333" s="108"/>
      <c r="U333" s="16"/>
      <c r="V333" s="16"/>
      <c r="W333" s="16"/>
      <c r="X333" s="108"/>
    </row>
    <row r="334" customFormat="false" ht="11.25" hidden="false" customHeight="false" outlineLevel="0" collapsed="false">
      <c r="M334" s="152"/>
      <c r="O334" s="153"/>
      <c r="P334" s="153"/>
      <c r="Q334" s="153"/>
      <c r="R334" s="184"/>
      <c r="S334" s="152"/>
      <c r="U334" s="153"/>
      <c r="V334" s="153"/>
      <c r="W334" s="153"/>
      <c r="X334" s="184"/>
    </row>
    <row r="335" customFormat="false" ht="11.25" hidden="false" customHeight="false" outlineLevel="0" collapsed="false">
      <c r="M335" s="152"/>
      <c r="O335" s="153"/>
      <c r="P335" s="153"/>
      <c r="Q335" s="153"/>
      <c r="R335" s="184"/>
      <c r="S335" s="152"/>
      <c r="U335" s="153"/>
      <c r="V335" s="153"/>
      <c r="W335" s="153"/>
      <c r="X335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2" activeCellId="3" sqref="C18 B41 G32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60"/>
      <c r="B1" s="157"/>
      <c r="I1" s="98"/>
      <c r="K1" s="98"/>
    </row>
    <row r="2" customFormat="false" ht="12.75" hidden="false" customHeight="false" outlineLevel="0" collapsed="false">
      <c r="B2" s="98" t="s">
        <v>169</v>
      </c>
      <c r="D2" s="98" t="s">
        <v>170</v>
      </c>
      <c r="G2" s="100"/>
      <c r="H2" s="136"/>
      <c r="I2" s="100"/>
      <c r="J2" s="100"/>
      <c r="K2" s="100"/>
      <c r="L2" s="100"/>
      <c r="M2" s="100"/>
    </row>
    <row r="3" customFormat="false" ht="12.75" hidden="false" customHeight="false" outlineLevel="0" collapsed="false">
      <c r="A3" s="136"/>
      <c r="B3" s="100"/>
      <c r="C3" s="100"/>
      <c r="D3" s="100"/>
      <c r="E3" s="192"/>
      <c r="F3" s="100"/>
      <c r="G3" s="101"/>
      <c r="H3" s="75"/>
      <c r="I3" s="101"/>
      <c r="J3" s="101"/>
      <c r="K3" s="101"/>
      <c r="L3" s="101"/>
      <c r="M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 t="s">
        <v>150</v>
      </c>
      <c r="AF3" s="106" t="s">
        <v>150</v>
      </c>
    </row>
    <row r="4" customFormat="false" ht="12.75" hidden="false" customHeight="false" outlineLevel="0" collapsed="false">
      <c r="A4" s="75" t="s">
        <v>113</v>
      </c>
      <c r="B4" s="101" t="s">
        <v>114</v>
      </c>
      <c r="C4" s="101" t="s">
        <v>115</v>
      </c>
      <c r="D4" s="24" t="s">
        <v>114</v>
      </c>
      <c r="E4" s="24" t="s">
        <v>115</v>
      </c>
      <c r="F4" s="101"/>
      <c r="G4" s="108"/>
      <c r="H4" s="107"/>
      <c r="I4" s="108"/>
      <c r="J4" s="108"/>
      <c r="K4" s="108"/>
      <c r="L4" s="108"/>
      <c r="M4" s="108"/>
      <c r="N4" s="105"/>
      <c r="O4" s="188"/>
      <c r="P4" s="100"/>
      <c r="Q4" s="100"/>
      <c r="R4" s="105"/>
      <c r="S4" s="18"/>
      <c r="T4" s="106"/>
      <c r="W4" s="110"/>
      <c r="Y4" s="6"/>
      <c r="Z4" s="105" t="n">
        <v>56419</v>
      </c>
      <c r="AA4" s="105" t="n">
        <v>500516</v>
      </c>
      <c r="AB4" s="105" t="n">
        <v>500535</v>
      </c>
      <c r="AC4" s="105" t="n">
        <v>500539</v>
      </c>
      <c r="AD4" s="105" t="s">
        <v>141</v>
      </c>
      <c r="AE4" s="18" t="s">
        <v>118</v>
      </c>
      <c r="AF4" s="106" t="s">
        <v>97</v>
      </c>
      <c r="AI4" s="110"/>
    </row>
    <row r="5" customFormat="false" ht="12.75" hidden="false" customHeight="false" outlineLevel="0" collapsed="false">
      <c r="A5" s="107" t="n">
        <v>1</v>
      </c>
      <c r="B5" s="108" t="n">
        <v>199740</v>
      </c>
      <c r="C5" s="108" t="n">
        <v>206461</v>
      </c>
      <c r="D5" s="108"/>
      <c r="E5" s="108" t="n">
        <v>-6136</v>
      </c>
      <c r="F5" s="108" t="n">
        <f aca="false">+C5+E5-B5-D5</f>
        <v>585</v>
      </c>
      <c r="G5" s="108"/>
      <c r="H5" s="107"/>
      <c r="I5" s="108"/>
      <c r="J5" s="108"/>
      <c r="K5" s="108"/>
      <c r="L5" s="108"/>
      <c r="M5" s="108"/>
      <c r="O5" s="101"/>
      <c r="P5" s="101"/>
      <c r="Q5" s="101"/>
      <c r="R5" s="30"/>
      <c r="T5" s="79"/>
      <c r="U5" s="63"/>
      <c r="Y5" s="112" t="n">
        <v>34001</v>
      </c>
      <c r="Z5" s="113" t="n">
        <f aca="false">-6103887+6134839</f>
        <v>30952</v>
      </c>
      <c r="AA5" s="113"/>
      <c r="AB5" s="113"/>
      <c r="AC5" s="113"/>
      <c r="AD5" s="113" t="n">
        <f aca="false">SUM(Z5:AC5)</f>
        <v>30952</v>
      </c>
      <c r="AE5" s="114" t="n">
        <v>1.57</v>
      </c>
      <c r="AF5" s="115" t="n">
        <f aca="false">+AE5*AD5</f>
        <v>48594.64</v>
      </c>
      <c r="AG5" s="63" t="n">
        <f aca="false">+AD5</f>
        <v>30952</v>
      </c>
      <c r="AH5" s="79" t="n">
        <f aca="false">+AF5</f>
        <v>48594.64</v>
      </c>
      <c r="AI5" s="110" t="n">
        <f aca="false">+AH5/AG5</f>
        <v>1.57</v>
      </c>
    </row>
    <row r="6" customFormat="false" ht="12.75" hidden="false" customHeight="false" outlineLevel="0" collapsed="false">
      <c r="A6" s="107" t="n">
        <v>2</v>
      </c>
      <c r="B6" s="108" t="n">
        <v>124221</v>
      </c>
      <c r="C6" s="108" t="n">
        <v>140424</v>
      </c>
      <c r="D6" s="108"/>
      <c r="E6" s="108" t="n">
        <v>-16997</v>
      </c>
      <c r="F6" s="108" t="n">
        <f aca="false">+C6+E6-B6-D6</f>
        <v>-794</v>
      </c>
      <c r="G6" s="108"/>
      <c r="H6" s="107"/>
      <c r="I6" s="108"/>
      <c r="J6" s="108"/>
      <c r="K6" s="108"/>
      <c r="L6" s="108"/>
      <c r="M6" s="108"/>
      <c r="N6" s="113"/>
      <c r="O6" s="108"/>
      <c r="P6" s="108"/>
      <c r="Q6" s="108"/>
      <c r="R6" s="113"/>
      <c r="S6" s="114"/>
      <c r="T6" s="115"/>
      <c r="U6" s="63"/>
      <c r="V6" s="79"/>
      <c r="W6" s="110"/>
      <c r="Y6" s="112" t="n">
        <v>34029</v>
      </c>
      <c r="Z6" s="113" t="n">
        <f aca="false">-9229229+9331390</f>
        <v>102161</v>
      </c>
      <c r="AA6" s="113"/>
      <c r="AB6" s="113"/>
      <c r="AC6" s="113"/>
      <c r="AD6" s="113" t="n">
        <f aca="false">SUM(Z6:AC6)</f>
        <v>102161</v>
      </c>
      <c r="AE6" s="116" t="n">
        <v>1.84</v>
      </c>
      <c r="AF6" s="115" t="n">
        <f aca="false">+AE6*AD6</f>
        <v>187976.24</v>
      </c>
      <c r="AG6" s="63" t="n">
        <f aca="false">+AG5+AD6</f>
        <v>133113</v>
      </c>
      <c r="AH6" s="79" t="n">
        <f aca="false">+AH5+AF6</f>
        <v>236570.88</v>
      </c>
      <c r="AI6" s="110" t="n">
        <f aca="false">+AH6/AG6</f>
        <v>1.7772184534944</v>
      </c>
    </row>
    <row r="7" customFormat="false" ht="12.75" hidden="false" customHeight="false" outlineLevel="0" collapsed="false">
      <c r="A7" s="107" t="n">
        <v>3</v>
      </c>
      <c r="B7" s="108" t="n">
        <v>208560</v>
      </c>
      <c r="C7" s="108" t="n">
        <v>226875</v>
      </c>
      <c r="D7" s="108"/>
      <c r="E7" s="108" t="n">
        <v>-13759</v>
      </c>
      <c r="F7" s="108" t="n">
        <f aca="false">+C7+E7-B7-D7</f>
        <v>4556</v>
      </c>
      <c r="G7" s="108"/>
      <c r="H7" s="107"/>
      <c r="I7" s="108"/>
      <c r="J7" s="108"/>
      <c r="K7" s="108"/>
      <c r="L7" s="108"/>
      <c r="M7" s="108"/>
      <c r="N7" s="113"/>
      <c r="O7" s="108"/>
      <c r="P7" s="108"/>
      <c r="Q7" s="108"/>
      <c r="R7" s="113"/>
      <c r="S7" s="116"/>
      <c r="T7" s="115"/>
      <c r="U7" s="63"/>
      <c r="V7" s="79"/>
      <c r="W7" s="110"/>
      <c r="Y7" s="112" t="n">
        <v>34060</v>
      </c>
      <c r="Z7" s="113" t="n">
        <f aca="false">-9862641+10157103</f>
        <v>294462</v>
      </c>
      <c r="AA7" s="113"/>
      <c r="AB7" s="113"/>
      <c r="AC7" s="113"/>
      <c r="AD7" s="113" t="n">
        <f aca="false">SUM(Z7:AC7)</f>
        <v>294462</v>
      </c>
      <c r="AE7" s="116" t="n">
        <v>1.91</v>
      </c>
      <c r="AF7" s="115" t="n">
        <f aca="false">+AE7*AD7</f>
        <v>562422.42</v>
      </c>
      <c r="AG7" s="63" t="n">
        <f aca="false">+AG6+AD7</f>
        <v>427575</v>
      </c>
      <c r="AH7" s="79" t="n">
        <f aca="false">+AH6+AF7</f>
        <v>798993.3</v>
      </c>
      <c r="AI7" s="110" t="n">
        <f aca="false">+AH7/AG7</f>
        <v>1.86866233994036</v>
      </c>
    </row>
    <row r="8" customFormat="false" ht="12.75" hidden="false" customHeight="false" outlineLevel="0" collapsed="false">
      <c r="A8" s="107" t="n">
        <v>4</v>
      </c>
      <c r="B8" s="108" t="n">
        <v>174497</v>
      </c>
      <c r="C8" s="108" t="n">
        <v>201790</v>
      </c>
      <c r="D8" s="108"/>
      <c r="E8" s="108" t="n">
        <v>-27623</v>
      </c>
      <c r="F8" s="108" t="n">
        <f aca="false">+C8+E8-B8-D8</f>
        <v>-330</v>
      </c>
      <c r="G8" s="108"/>
      <c r="H8" s="107"/>
      <c r="I8" s="108"/>
      <c r="J8" s="108"/>
      <c r="K8" s="108"/>
      <c r="L8" s="108"/>
      <c r="M8" s="108"/>
      <c r="N8" s="113"/>
      <c r="Q8" s="108"/>
      <c r="R8" s="113"/>
      <c r="S8" s="116"/>
      <c r="T8" s="115"/>
      <c r="U8" s="63"/>
      <c r="V8" s="79"/>
      <c r="W8" s="110"/>
      <c r="Y8" s="112" t="n">
        <v>34090</v>
      </c>
      <c r="Z8" s="113" t="n">
        <f aca="false">-10960172+11117813</f>
        <v>157641</v>
      </c>
      <c r="AA8" s="113"/>
      <c r="AB8" s="113"/>
      <c r="AC8" s="113"/>
      <c r="AD8" s="113" t="n">
        <f aca="false">SUM(Z8:AC8)</f>
        <v>157641</v>
      </c>
      <c r="AE8" s="116" t="n">
        <v>2.21</v>
      </c>
      <c r="AF8" s="115" t="n">
        <f aca="false">+AE8*AD8</f>
        <v>348386.61</v>
      </c>
      <c r="AG8" s="63" t="n">
        <f aca="false">+AG7+AD8</f>
        <v>585216</v>
      </c>
      <c r="AH8" s="79" t="n">
        <f aca="false">+AH7+AF8</f>
        <v>1147379.91</v>
      </c>
      <c r="AI8" s="110" t="n">
        <f aca="false">+AH8/AG8</f>
        <v>1.96060926222113</v>
      </c>
    </row>
    <row r="9" customFormat="false" ht="12.75" hidden="false" customHeight="false" outlineLevel="0" collapsed="false">
      <c r="A9" s="107" t="n">
        <v>5</v>
      </c>
      <c r="B9" s="108" t="n">
        <v>170484</v>
      </c>
      <c r="C9" s="108" t="n">
        <v>195304</v>
      </c>
      <c r="D9" s="108"/>
      <c r="E9" s="108" t="n">
        <v>-25217</v>
      </c>
      <c r="F9" s="108" t="n">
        <f aca="false">+C9+E9-B9-D9</f>
        <v>-397</v>
      </c>
      <c r="G9" s="108"/>
      <c r="H9" s="107"/>
      <c r="I9" s="108"/>
      <c r="J9" s="108"/>
      <c r="K9" s="108"/>
      <c r="L9" s="108"/>
      <c r="M9" s="108"/>
      <c r="N9" s="113"/>
      <c r="Q9" s="108"/>
      <c r="R9" s="113"/>
      <c r="S9" s="116"/>
      <c r="T9" s="115"/>
      <c r="U9" s="63"/>
      <c r="V9" s="79"/>
      <c r="W9" s="110"/>
      <c r="Y9" s="112" t="n">
        <v>34121</v>
      </c>
      <c r="Z9" s="113" t="n">
        <f aca="false">-10636230+10902316</f>
        <v>266086</v>
      </c>
      <c r="AA9" s="113"/>
      <c r="AB9" s="113"/>
      <c r="AC9" s="113"/>
      <c r="AD9" s="113" t="n">
        <f aca="false">SUM(Z9:AC9)</f>
        <v>266086</v>
      </c>
      <c r="AE9" s="116" t="n">
        <v>1.67</v>
      </c>
      <c r="AF9" s="115" t="n">
        <f aca="false">+AE9*AD9</f>
        <v>444363.62</v>
      </c>
      <c r="AG9" s="63" t="n">
        <f aca="false">+AG8+AD9</f>
        <v>851302</v>
      </c>
      <c r="AH9" s="79" t="n">
        <f aca="false">+AH8+AF9</f>
        <v>1591743.53</v>
      </c>
      <c r="AI9" s="110" t="n">
        <f aca="false">+AH9/AG9</f>
        <v>1.8697753911068</v>
      </c>
    </row>
    <row r="10" customFormat="false" ht="12.75" hidden="false" customHeight="false" outlineLevel="0" collapsed="false">
      <c r="A10" s="107" t="n">
        <v>6</v>
      </c>
      <c r="B10" s="108" t="n">
        <v>171739</v>
      </c>
      <c r="C10" s="108" t="n">
        <v>196507</v>
      </c>
      <c r="D10" s="108"/>
      <c r="E10" s="108" t="n">
        <v>-26132</v>
      </c>
      <c r="F10" s="108" t="n">
        <f aca="false">+C10+E10-B10-D10</f>
        <v>-1364</v>
      </c>
      <c r="G10" s="108"/>
      <c r="H10" s="107"/>
      <c r="I10" s="108"/>
      <c r="J10" s="108"/>
      <c r="K10" s="108"/>
      <c r="L10" s="108"/>
      <c r="M10" s="108"/>
      <c r="N10" s="113"/>
      <c r="Q10" s="108"/>
      <c r="R10" s="113"/>
      <c r="S10" s="116"/>
      <c r="T10" s="115"/>
      <c r="U10" s="63"/>
      <c r="V10" s="79"/>
      <c r="W10" s="110"/>
      <c r="Y10" s="112" t="n">
        <v>34151</v>
      </c>
      <c r="Z10" s="113" t="n">
        <f aca="false">-8599421+9180878</f>
        <v>581457</v>
      </c>
      <c r="AA10" s="113"/>
      <c r="AB10" s="113"/>
      <c r="AC10" s="113"/>
      <c r="AD10" s="113" t="n">
        <f aca="false">SUM(Z10:AC10)</f>
        <v>581457</v>
      </c>
      <c r="AE10" s="116" t="n">
        <v>1.8</v>
      </c>
      <c r="AF10" s="115" t="n">
        <f aca="false">+AE10*AD10</f>
        <v>1046622.6</v>
      </c>
      <c r="AG10" s="63" t="n">
        <f aca="false">+AG9+AD10</f>
        <v>1432759</v>
      </c>
      <c r="AH10" s="79" t="n">
        <f aca="false">+AH9+AF10</f>
        <v>2638366.13</v>
      </c>
      <c r="AI10" s="110" t="n">
        <f aca="false">+AH10/AG10</f>
        <v>1.84145842392196</v>
      </c>
    </row>
    <row r="11" customFormat="false" ht="12.75" hidden="false" customHeight="false" outlineLevel="0" collapsed="false">
      <c r="A11" s="107" t="n">
        <v>7</v>
      </c>
      <c r="B11" s="108" t="n">
        <v>181261</v>
      </c>
      <c r="C11" s="108" t="n">
        <v>192920</v>
      </c>
      <c r="D11" s="108"/>
      <c r="E11" s="108" t="n">
        <v>-9874</v>
      </c>
      <c r="F11" s="108" t="n">
        <f aca="false">+C11+E11-B11-D11</f>
        <v>1785</v>
      </c>
      <c r="G11" s="108"/>
      <c r="H11" s="107"/>
      <c r="I11" s="108"/>
      <c r="J11" s="108"/>
      <c r="K11" s="108"/>
      <c r="L11" s="108"/>
      <c r="M11" s="108"/>
      <c r="N11" s="113"/>
      <c r="Q11" s="108"/>
      <c r="R11" s="113"/>
      <c r="S11" s="116"/>
      <c r="T11" s="115"/>
      <c r="U11" s="63"/>
      <c r="V11" s="79"/>
      <c r="W11" s="110"/>
      <c r="Y11" s="112" t="n">
        <v>34182</v>
      </c>
      <c r="Z11" s="113" t="n">
        <f aca="false">-9094539+8818862</f>
        <v>-275677</v>
      </c>
      <c r="AA11" s="113"/>
      <c r="AB11" s="113"/>
      <c r="AC11" s="113"/>
      <c r="AD11" s="113" t="n">
        <f aca="false">SUM(Z11:AC11)</f>
        <v>-275677</v>
      </c>
      <c r="AE11" s="116" t="n">
        <v>1.88</v>
      </c>
      <c r="AF11" s="115" t="n">
        <f aca="false">+AE11*AD11</f>
        <v>-518272.76</v>
      </c>
      <c r="AG11" s="63" t="n">
        <f aca="false">+AG10+AD11</f>
        <v>1157082</v>
      </c>
      <c r="AH11" s="79" t="n">
        <f aca="false">+AH10+AF11</f>
        <v>2120093.37</v>
      </c>
      <c r="AI11" s="110" t="n">
        <f aca="false">+AH11/AG11</f>
        <v>1.83227581969126</v>
      </c>
    </row>
    <row r="12" customFormat="false" ht="12.75" hidden="false" customHeight="false" outlineLevel="0" collapsed="false">
      <c r="A12" s="107" t="n">
        <v>8</v>
      </c>
      <c r="B12" s="108" t="n">
        <v>197070</v>
      </c>
      <c r="C12" s="108" t="n">
        <v>204844</v>
      </c>
      <c r="D12" s="108"/>
      <c r="E12" s="108" t="n">
        <v>-4417</v>
      </c>
      <c r="F12" s="108" t="n">
        <f aca="false">+C12+E12-B12-D12</f>
        <v>3357</v>
      </c>
      <c r="G12" s="108"/>
      <c r="H12" s="107"/>
      <c r="I12" s="108"/>
      <c r="J12" s="108"/>
      <c r="K12" s="108"/>
      <c r="L12" s="108"/>
      <c r="M12" s="108"/>
      <c r="N12" s="113"/>
      <c r="Q12" s="108"/>
      <c r="R12" s="113"/>
      <c r="S12" s="116"/>
      <c r="T12" s="115"/>
      <c r="U12" s="63"/>
      <c r="V12" s="79"/>
      <c r="W12" s="110"/>
      <c r="Y12" s="112" t="n">
        <v>34213</v>
      </c>
      <c r="Z12" s="113" t="n">
        <f aca="false">-8173088+7496644</f>
        <v>-676444</v>
      </c>
      <c r="AA12" s="113"/>
      <c r="AB12" s="113"/>
      <c r="AC12" s="113"/>
      <c r="AD12" s="113" t="n">
        <f aca="false">SUM(Z12:AC12)</f>
        <v>-676444</v>
      </c>
      <c r="AE12" s="116" t="n">
        <v>2.02</v>
      </c>
      <c r="AF12" s="115" t="n">
        <f aca="false">+AE12*AD12</f>
        <v>-1366416.88</v>
      </c>
      <c r="AG12" s="63" t="n">
        <f aca="false">+AG11+AD12</f>
        <v>480638</v>
      </c>
      <c r="AH12" s="79" t="n">
        <f aca="false">+AH11+AF12</f>
        <v>753676.49</v>
      </c>
      <c r="AI12" s="110" t="n">
        <f aca="false">+AH12/AG12</f>
        <v>1.56807512098502</v>
      </c>
    </row>
    <row r="13" customFormat="false" ht="12.75" hidden="false" customHeight="false" outlineLevel="0" collapsed="false">
      <c r="A13" s="107" t="n">
        <v>9</v>
      </c>
      <c r="B13" s="108" t="n">
        <v>193826</v>
      </c>
      <c r="C13" s="108" t="n">
        <v>201331</v>
      </c>
      <c r="D13" s="108"/>
      <c r="E13" s="108" t="n">
        <v>-8466</v>
      </c>
      <c r="F13" s="108" t="n">
        <f aca="false">+C13+E13-B13-D13</f>
        <v>-961</v>
      </c>
      <c r="G13" s="108"/>
      <c r="H13" s="107"/>
      <c r="I13" s="108"/>
      <c r="J13" s="108"/>
      <c r="K13" s="108"/>
      <c r="L13" s="108"/>
      <c r="M13" s="108"/>
      <c r="N13" s="113"/>
      <c r="Q13" s="108"/>
      <c r="R13" s="113"/>
      <c r="S13" s="116"/>
      <c r="T13" s="115"/>
      <c r="U13" s="63"/>
      <c r="V13" s="79"/>
      <c r="W13" s="110"/>
      <c r="Y13" s="112" t="n">
        <v>34243</v>
      </c>
      <c r="Z13" s="113" t="n">
        <f aca="false">-8509201+7954183</f>
        <v>-555018</v>
      </c>
      <c r="AA13" s="113"/>
      <c r="AB13" s="113"/>
      <c r="AC13" s="113"/>
      <c r="AD13" s="113" t="n">
        <f aca="false">SUM(Z13:AC13)</f>
        <v>-555018</v>
      </c>
      <c r="AE13" s="116" t="n">
        <v>1.81</v>
      </c>
      <c r="AF13" s="115" t="n">
        <f aca="false">+AE13*AD13</f>
        <v>-1004582.58</v>
      </c>
      <c r="AG13" s="63" t="n">
        <f aca="false">+AG12+AD13</f>
        <v>-74380</v>
      </c>
      <c r="AH13" s="79" t="n">
        <f aca="false">+AH12+AF13</f>
        <v>-250906.09</v>
      </c>
      <c r="AI13" s="110" t="n">
        <f aca="false">+AH13/AG13</f>
        <v>3.37330048400108</v>
      </c>
    </row>
    <row r="14" customFormat="false" ht="12.75" hidden="false" customHeight="false" outlineLevel="0" collapsed="false">
      <c r="A14" s="107" t="n">
        <v>10</v>
      </c>
      <c r="B14" s="108" t="n">
        <v>183951</v>
      </c>
      <c r="C14" s="108" t="n">
        <v>200529</v>
      </c>
      <c r="D14" s="108"/>
      <c r="E14" s="108" t="n">
        <v>-19807</v>
      </c>
      <c r="F14" s="108" t="n">
        <f aca="false">+C14+E14-B14-D14</f>
        <v>-3229</v>
      </c>
      <c r="G14" s="108"/>
      <c r="H14" s="107"/>
      <c r="I14" s="108"/>
      <c r="J14" s="108"/>
      <c r="K14" s="108"/>
      <c r="L14" s="108"/>
      <c r="M14" s="108"/>
      <c r="N14" s="113"/>
      <c r="Q14" s="108"/>
      <c r="R14" s="113"/>
      <c r="S14" s="116"/>
      <c r="T14" s="115"/>
      <c r="U14" s="63"/>
      <c r="V14" s="79"/>
      <c r="W14" s="110"/>
      <c r="Y14" s="112" t="n">
        <v>34274</v>
      </c>
      <c r="Z14" s="113" t="n">
        <f aca="false">-8106782+8615284</f>
        <v>508502</v>
      </c>
      <c r="AA14" s="113"/>
      <c r="AB14" s="113"/>
      <c r="AC14" s="113"/>
      <c r="AD14" s="113" t="n">
        <f aca="false">SUM(Z14:AC14)</f>
        <v>508502</v>
      </c>
      <c r="AE14" s="116" t="n">
        <v>1.79</v>
      </c>
      <c r="AF14" s="115" t="n">
        <f aca="false">+AE14*AD14</f>
        <v>910218.58</v>
      </c>
      <c r="AG14" s="63" t="n">
        <f aca="false">+AG13+AD14</f>
        <v>434122</v>
      </c>
      <c r="AH14" s="79" t="n">
        <f aca="false">+AH13+AF14</f>
        <v>659312.49</v>
      </c>
      <c r="AI14" s="110" t="n">
        <f aca="false">+AH14/AG14</f>
        <v>1.51872627970939</v>
      </c>
    </row>
    <row r="15" customFormat="false" ht="12.75" hidden="false" customHeight="false" outlineLevel="0" collapsed="false">
      <c r="A15" s="107" t="n">
        <v>11</v>
      </c>
      <c r="B15" s="108" t="n">
        <v>205187</v>
      </c>
      <c r="C15" s="108" t="n">
        <v>209202</v>
      </c>
      <c r="D15" s="108"/>
      <c r="E15" s="108" t="n">
        <v>-5480</v>
      </c>
      <c r="F15" s="108" t="n">
        <f aca="false">+C15+E15-B15-D15</f>
        <v>-1465</v>
      </c>
      <c r="G15" s="108"/>
      <c r="H15" s="107"/>
      <c r="I15" s="108"/>
      <c r="J15" s="108"/>
      <c r="K15" s="108"/>
      <c r="L15" s="108"/>
      <c r="M15" s="108"/>
      <c r="N15" s="113"/>
      <c r="Q15" s="108"/>
      <c r="R15" s="113"/>
      <c r="S15" s="116"/>
      <c r="T15" s="115"/>
      <c r="U15" s="63"/>
      <c r="V15" s="79"/>
      <c r="W15" s="110"/>
      <c r="Y15" s="112" t="n">
        <v>34304</v>
      </c>
      <c r="Z15" s="113" t="n">
        <f aca="false">-8035720+8638014+8035720-8298344</f>
        <v>339670</v>
      </c>
      <c r="AA15" s="113"/>
      <c r="AB15" s="113"/>
      <c r="AC15" s="113"/>
      <c r="AD15" s="113" t="n">
        <f aca="false">SUM(Z15:AC15)</f>
        <v>339670</v>
      </c>
      <c r="AE15" s="116" t="n">
        <v>2.28</v>
      </c>
      <c r="AF15" s="115" t="n">
        <f aca="false">+AE15*AD15</f>
        <v>774447.6</v>
      </c>
      <c r="AG15" s="63" t="n">
        <f aca="false">+AG14+AD15</f>
        <v>773792</v>
      </c>
      <c r="AH15" s="79" t="n">
        <f aca="false">+AH14+AF15</f>
        <v>1433760.09</v>
      </c>
      <c r="AI15" s="110" t="n">
        <f aca="false">+AH15/AG15</f>
        <v>1.85290115431537</v>
      </c>
    </row>
    <row r="16" customFormat="false" ht="12.75" hidden="false" customHeight="false" outlineLevel="0" collapsed="false">
      <c r="A16" s="107" t="n">
        <v>12</v>
      </c>
      <c r="B16" s="108" t="n">
        <v>196282</v>
      </c>
      <c r="C16" s="108" t="n">
        <v>206942</v>
      </c>
      <c r="D16" s="108"/>
      <c r="E16" s="108" t="n">
        <v>-11937</v>
      </c>
      <c r="F16" s="108" t="n">
        <f aca="false">+C16+E16-B16-D16</f>
        <v>-1277</v>
      </c>
      <c r="G16" s="108"/>
      <c r="H16" s="107"/>
      <c r="I16" s="108"/>
      <c r="J16" s="108"/>
      <c r="K16" s="108"/>
      <c r="L16" s="108"/>
      <c r="M16" s="108"/>
      <c r="N16" s="113"/>
      <c r="Q16" s="108"/>
      <c r="R16" s="113"/>
      <c r="S16" s="116"/>
      <c r="T16" s="115"/>
      <c r="U16" s="63"/>
      <c r="V16" s="79"/>
      <c r="W16" s="110"/>
      <c r="Y16" s="112" t="n">
        <v>34335</v>
      </c>
      <c r="Z16" s="113" t="n">
        <f aca="false">-11019162+11034969</f>
        <v>15807</v>
      </c>
      <c r="AD16" s="113" t="n">
        <f aca="false">SUM(Z16:AC16)</f>
        <v>15807</v>
      </c>
      <c r="AE16" s="116" t="n">
        <v>1.94</v>
      </c>
      <c r="AF16" s="115" t="n">
        <f aca="false">+AE16*AD16</f>
        <v>30665.58</v>
      </c>
      <c r="AG16" s="63" t="n">
        <f aca="false">+AG15+AD16</f>
        <v>789599</v>
      </c>
      <c r="AH16" s="79" t="n">
        <f aca="false">+AH15+AF16</f>
        <v>1464425.67</v>
      </c>
      <c r="AI16" s="110" t="n">
        <f aca="false">+AH16/AG16</f>
        <v>1.85464478805064</v>
      </c>
    </row>
    <row r="17" customFormat="false" ht="12.75" hidden="false" customHeight="false" outlineLevel="0" collapsed="false">
      <c r="A17" s="107" t="n">
        <v>13</v>
      </c>
      <c r="B17" s="108" t="n">
        <v>208969</v>
      </c>
      <c r="C17" s="108" t="n">
        <v>209066</v>
      </c>
      <c r="D17" s="108"/>
      <c r="E17" s="108" t="n">
        <v>-807</v>
      </c>
      <c r="F17" s="108" t="n">
        <f aca="false">+C17+E17-B17-D17</f>
        <v>-710</v>
      </c>
      <c r="G17" s="108"/>
      <c r="H17" s="107"/>
      <c r="I17" s="108"/>
      <c r="J17" s="108"/>
      <c r="K17" s="108"/>
      <c r="L17" s="108"/>
      <c r="M17" s="108"/>
      <c r="N17" s="113"/>
      <c r="Q17" s="108"/>
      <c r="R17" s="113"/>
      <c r="S17" s="114"/>
      <c r="T17" s="115"/>
      <c r="U17" s="63"/>
      <c r="V17" s="79"/>
      <c r="W17" s="110"/>
      <c r="Y17" s="112" t="n">
        <v>34366</v>
      </c>
      <c r="Z17" s="113" t="n">
        <f aca="false">-9498254+9056416-9056416+9046830</f>
        <v>-451424</v>
      </c>
      <c r="AD17" s="113" t="n">
        <f aca="false">SUM(Z17:AC17)</f>
        <v>-451424</v>
      </c>
      <c r="AE17" s="116" t="n">
        <v>2.2</v>
      </c>
      <c r="AF17" s="115" t="n">
        <f aca="false">+AE17*AD17</f>
        <v>-993132.8</v>
      </c>
      <c r="AG17" s="63" t="n">
        <f aca="false">+AG16+AD17</f>
        <v>338175</v>
      </c>
      <c r="AH17" s="79" t="n">
        <f aca="false">+AH16+AF17</f>
        <v>471292.87</v>
      </c>
      <c r="AI17" s="110" t="n">
        <f aca="false">+AH17/AG17</f>
        <v>1.39363604642567</v>
      </c>
    </row>
    <row r="18" customFormat="false" ht="12.75" hidden="false" customHeight="false" outlineLevel="0" collapsed="false">
      <c r="A18" s="107" t="n">
        <v>14</v>
      </c>
      <c r="B18" s="108" t="n">
        <v>200915</v>
      </c>
      <c r="C18" s="108" t="n">
        <v>207816</v>
      </c>
      <c r="D18" s="108"/>
      <c r="E18" s="108" t="n">
        <v>-8506</v>
      </c>
      <c r="F18" s="108" t="n">
        <f aca="false">+C18+E18-B18-D18</f>
        <v>-1605</v>
      </c>
      <c r="G18" s="108"/>
      <c r="H18" s="107"/>
      <c r="I18" s="108"/>
      <c r="J18" s="108"/>
      <c r="K18" s="108"/>
      <c r="L18" s="108"/>
      <c r="M18" s="108"/>
      <c r="N18" s="113"/>
      <c r="Q18" s="108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 t="e">
        <f aca="false">+AH18/AG18</f>
        <v>#DIV/0!</v>
      </c>
    </row>
    <row r="19" customFormat="false" ht="12.75" hidden="false" customHeight="false" outlineLevel="0" collapsed="false">
      <c r="A19" s="107" t="n">
        <v>15</v>
      </c>
      <c r="B19" s="108" t="n">
        <v>185028</v>
      </c>
      <c r="C19" s="108" t="n">
        <v>192042</v>
      </c>
      <c r="D19" s="108"/>
      <c r="E19" s="108" t="n">
        <v>-7418</v>
      </c>
      <c r="F19" s="108" t="n">
        <f aca="false">+C19+E19-B19-D19</f>
        <v>-404</v>
      </c>
      <c r="G19" s="108"/>
      <c r="H19" s="107"/>
      <c r="I19" s="108"/>
      <c r="J19" s="108"/>
      <c r="K19" s="108"/>
      <c r="L19" s="108"/>
      <c r="M19" s="108"/>
      <c r="Q19" s="108"/>
      <c r="Y19" s="112" t="n">
        <v>34425</v>
      </c>
      <c r="Z19" s="113" t="n">
        <f aca="false">-10780270+10712612</f>
        <v>-67658</v>
      </c>
      <c r="AD19" s="113" t="n">
        <f aca="false">SUM(Z19:AC19)</f>
        <v>-67658</v>
      </c>
      <c r="AE19" s="116" t="n">
        <v>1.74</v>
      </c>
      <c r="AF19" s="115" t="n">
        <f aca="false">+AE19*AD19</f>
        <v>-117724.92</v>
      </c>
      <c r="AG19" s="63" t="n">
        <f aca="false">+AG18+AD19</f>
        <v>-67658</v>
      </c>
      <c r="AH19" s="79" t="n">
        <f aca="false">+AH18+AF19</f>
        <v>-117724.92</v>
      </c>
      <c r="AI19" s="110" t="n">
        <f aca="false">+AH19/AG19</f>
        <v>1.74</v>
      </c>
    </row>
    <row r="20" customFormat="false" ht="12.75" hidden="false" customHeight="false" outlineLevel="0" collapsed="false">
      <c r="A20" s="107" t="n">
        <v>16</v>
      </c>
      <c r="B20" s="108" t="n">
        <v>205829</v>
      </c>
      <c r="C20" s="108" t="n">
        <v>210433</v>
      </c>
      <c r="D20" s="108"/>
      <c r="E20" s="108" t="n">
        <v>-5000</v>
      </c>
      <c r="F20" s="108" t="n">
        <f aca="false">+C20+E20-B20-D20</f>
        <v>-396</v>
      </c>
      <c r="G20" s="108"/>
      <c r="H20" s="107"/>
      <c r="I20" s="108"/>
      <c r="J20" s="108"/>
      <c r="K20" s="108"/>
      <c r="L20" s="108"/>
      <c r="M20" s="108"/>
      <c r="Q20" s="108"/>
      <c r="Y20" s="112" t="n">
        <v>34455</v>
      </c>
      <c r="Z20" s="108" t="n">
        <f aca="false">-11190562+11224121</f>
        <v>33559</v>
      </c>
      <c r="AD20" s="113" t="n">
        <f aca="false">SUM(Z20:AC20)</f>
        <v>33559</v>
      </c>
      <c r="AE20" s="114" t="n">
        <v>1.58</v>
      </c>
      <c r="AF20" s="115" t="n">
        <f aca="false">+AE20*AD20</f>
        <v>53023.22</v>
      </c>
      <c r="AG20" s="63" t="n">
        <f aca="false">+AG19+AD20</f>
        <v>-34099</v>
      </c>
      <c r="AH20" s="79" t="n">
        <f aca="false">+AH19+AF20</f>
        <v>-64701.7</v>
      </c>
      <c r="AI20" s="110" t="n">
        <f aca="false">+AH20/AG20</f>
        <v>1.89746620135488</v>
      </c>
    </row>
    <row r="21" customFormat="false" ht="12.75" hidden="false" customHeight="false" outlineLevel="0" collapsed="false">
      <c r="A21" s="107" t="n">
        <v>17</v>
      </c>
      <c r="B21" s="108" t="n">
        <v>203994</v>
      </c>
      <c r="C21" s="108" t="n">
        <v>209294</v>
      </c>
      <c r="D21" s="108"/>
      <c r="E21" s="108" t="n">
        <v>-5929</v>
      </c>
      <c r="F21" s="108" t="n">
        <f aca="false">+C21+E21-B21-D21</f>
        <v>-629</v>
      </c>
      <c r="G21" s="108"/>
      <c r="H21" s="107"/>
      <c r="I21" s="108"/>
      <c r="J21" s="108"/>
      <c r="K21" s="108"/>
      <c r="L21" s="108"/>
      <c r="M21" s="108"/>
      <c r="N21" s="113"/>
      <c r="O21" s="113"/>
      <c r="P21" s="113"/>
      <c r="Q21" s="108"/>
      <c r="R21" s="113"/>
      <c r="S21" s="116"/>
      <c r="T21" s="115"/>
      <c r="U21" s="63"/>
      <c r="V21" s="79"/>
      <c r="W21" s="110"/>
      <c r="Y21" s="112" t="n">
        <v>34486</v>
      </c>
      <c r="Z21" s="108" t="n">
        <f aca="false">-10190638+10110254</f>
        <v>-80384</v>
      </c>
      <c r="AD21" s="113" t="n">
        <f aca="false">SUM(Z21:AC21)</f>
        <v>-80384</v>
      </c>
      <c r="AE21" s="114" t="n">
        <v>1.6</v>
      </c>
      <c r="AF21" s="115" t="n">
        <f aca="false">+AE21*AD21</f>
        <v>-128614.4</v>
      </c>
      <c r="AG21" s="63" t="n">
        <f aca="false">+AG20+AD21</f>
        <v>-114483</v>
      </c>
      <c r="AH21" s="79" t="n">
        <f aca="false">+AH20+AF21</f>
        <v>-193316.1</v>
      </c>
      <c r="AI21" s="110" t="n">
        <f aca="false">+AH21/AG21</f>
        <v>1.68860092764865</v>
      </c>
    </row>
    <row r="22" customFormat="false" ht="12.75" hidden="false" customHeight="false" outlineLevel="0" collapsed="false">
      <c r="A22" s="107" t="n">
        <v>18</v>
      </c>
      <c r="B22" s="108" t="n">
        <v>230790</v>
      </c>
      <c r="C22" s="108" t="n">
        <v>250585</v>
      </c>
      <c r="D22" s="108"/>
      <c r="E22" s="108" t="n">
        <v>-6265</v>
      </c>
      <c r="F22" s="108" t="n">
        <f aca="false">+C22+E22-B22-D22</f>
        <v>13530</v>
      </c>
      <c r="G22" s="108"/>
      <c r="H22" s="107"/>
      <c r="I22" s="108"/>
      <c r="J22" s="108"/>
      <c r="K22" s="108"/>
      <c r="L22" s="108"/>
      <c r="M22" s="108"/>
      <c r="N22" s="113"/>
      <c r="O22" s="113"/>
      <c r="P22" s="113"/>
      <c r="Q22" s="108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19</v>
      </c>
      <c r="B23" s="108" t="n">
        <v>180146</v>
      </c>
      <c r="C23" s="108" t="n">
        <v>245466</v>
      </c>
      <c r="D23" s="108"/>
      <c r="E23" s="108" t="n">
        <v>-6387</v>
      </c>
      <c r="F23" s="108" t="n">
        <f aca="false">+C23+E23-B23-D23</f>
        <v>58933</v>
      </c>
      <c r="G23" s="108"/>
      <c r="H23" s="107"/>
      <c r="I23" s="108"/>
      <c r="J23" s="108"/>
      <c r="K23" s="108"/>
      <c r="L23" s="108"/>
      <c r="M23" s="108"/>
      <c r="N23" s="113"/>
      <c r="O23" s="113"/>
      <c r="P23" s="113"/>
      <c r="Q23" s="108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20</v>
      </c>
      <c r="B24" s="108" t="n">
        <v>216439</v>
      </c>
      <c r="C24" s="108" t="n">
        <v>221942</v>
      </c>
      <c r="D24" s="108"/>
      <c r="E24" s="108" t="n">
        <v>-6231</v>
      </c>
      <c r="F24" s="108" t="n">
        <f aca="false">+C24+E24-B24-D24</f>
        <v>-728</v>
      </c>
      <c r="G24" s="108"/>
      <c r="H24" s="107"/>
      <c r="I24" s="108"/>
      <c r="J24" s="108"/>
      <c r="K24" s="108"/>
      <c r="L24" s="108"/>
      <c r="M24" s="108"/>
      <c r="N24" s="113"/>
      <c r="O24" s="113"/>
      <c r="P24" s="113"/>
      <c r="Q24" s="108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21</v>
      </c>
      <c r="B25" s="108" t="n">
        <v>183412</v>
      </c>
      <c r="C25" s="108" t="n">
        <v>215195</v>
      </c>
      <c r="D25" s="108"/>
      <c r="E25" s="108" t="n">
        <v>-28318</v>
      </c>
      <c r="F25" s="108" t="n">
        <f aca="false">+C25+E25-B25-D25</f>
        <v>3465</v>
      </c>
      <c r="G25" s="108"/>
      <c r="H25" s="107"/>
      <c r="I25" s="108"/>
      <c r="J25" s="108"/>
      <c r="K25" s="108"/>
      <c r="L25" s="108"/>
      <c r="M25" s="108"/>
      <c r="N25" s="113"/>
      <c r="O25" s="113"/>
      <c r="P25" s="113"/>
      <c r="Q25" s="108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22</v>
      </c>
      <c r="B26" s="108" t="n">
        <v>167828</v>
      </c>
      <c r="C26" s="108" t="n">
        <v>203102</v>
      </c>
      <c r="D26" s="108"/>
      <c r="E26" s="108" t="n">
        <v>-36302</v>
      </c>
      <c r="F26" s="108" t="n">
        <f aca="false">+C26+E26-B26-D26</f>
        <v>-1028</v>
      </c>
      <c r="G26" s="108"/>
      <c r="H26" s="107"/>
      <c r="I26" s="108"/>
      <c r="J26" s="108"/>
      <c r="K26" s="108"/>
      <c r="L26" s="108"/>
      <c r="M26" s="108"/>
      <c r="N26" s="113"/>
      <c r="O26" s="113"/>
      <c r="P26" s="113"/>
      <c r="Q26" s="108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23</v>
      </c>
      <c r="B27" s="108" t="n">
        <v>178676</v>
      </c>
      <c r="C27" s="108" t="n">
        <v>190275</v>
      </c>
      <c r="D27" s="108"/>
      <c r="E27" s="108" t="n">
        <v>-10586</v>
      </c>
      <c r="F27" s="108" t="n">
        <f aca="false">+C27+E27-B27-D27</f>
        <v>1013</v>
      </c>
      <c r="G27" s="108"/>
      <c r="H27" s="107"/>
      <c r="I27" s="108"/>
      <c r="J27" s="108"/>
      <c r="K27" s="108"/>
      <c r="L27" s="108"/>
      <c r="M27" s="108"/>
      <c r="N27" s="113"/>
      <c r="O27" s="113"/>
      <c r="P27" s="113"/>
      <c r="Q27" s="108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24</v>
      </c>
      <c r="B28" s="108" t="n">
        <v>175424</v>
      </c>
      <c r="C28" s="108" t="n">
        <v>196078</v>
      </c>
      <c r="D28" s="108"/>
      <c r="E28" s="108" t="n">
        <v>-20083</v>
      </c>
      <c r="F28" s="108" t="n">
        <f aca="false">+C28+E28-B28-D28</f>
        <v>571</v>
      </c>
      <c r="G28" s="108"/>
      <c r="H28" s="107"/>
      <c r="I28" s="108"/>
      <c r="J28" s="108"/>
      <c r="K28" s="108"/>
      <c r="L28" s="108"/>
      <c r="M28" s="108"/>
      <c r="N28" s="113"/>
      <c r="O28" s="113"/>
      <c r="P28" s="113"/>
      <c r="Q28" s="108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25</v>
      </c>
      <c r="B29" s="108" t="n">
        <v>183300</v>
      </c>
      <c r="C29" s="108" t="n">
        <v>180188</v>
      </c>
      <c r="D29" s="108"/>
      <c r="E29" s="108"/>
      <c r="F29" s="108" t="n">
        <f aca="false">+C29+E29-B29-D29</f>
        <v>-3112</v>
      </c>
      <c r="G29" s="108"/>
      <c r="H29" s="107"/>
      <c r="I29" s="108"/>
      <c r="J29" s="108"/>
      <c r="K29" s="108"/>
      <c r="L29" s="108"/>
      <c r="M29" s="108"/>
      <c r="N29" s="113"/>
      <c r="O29" s="113"/>
      <c r="P29" s="113"/>
      <c r="Q29" s="108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26</v>
      </c>
      <c r="B30" s="108" t="n">
        <v>186775</v>
      </c>
      <c r="C30" s="108" t="n">
        <v>185860</v>
      </c>
      <c r="D30" s="108"/>
      <c r="E30" s="108"/>
      <c r="F30" s="108" t="n">
        <f aca="false">+C30+E30-B30-D30</f>
        <v>-915</v>
      </c>
      <c r="G30" s="108"/>
      <c r="H30" s="107"/>
      <c r="I30" s="108"/>
      <c r="J30" s="108"/>
      <c r="K30" s="108"/>
      <c r="L30" s="108"/>
      <c r="M30" s="108"/>
      <c r="N30" s="113"/>
      <c r="O30" s="113"/>
      <c r="P30" s="113"/>
      <c r="Q30" s="108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27</v>
      </c>
      <c r="B31" s="108" t="n">
        <v>198508</v>
      </c>
      <c r="C31" s="108" t="n">
        <v>203148</v>
      </c>
      <c r="D31" s="108"/>
      <c r="E31" s="108" t="n">
        <v>-5993</v>
      </c>
      <c r="F31" s="108" t="n">
        <f aca="false">+C31+E31-B31-D31</f>
        <v>-1353</v>
      </c>
      <c r="G31" s="108"/>
      <c r="H31" s="107"/>
      <c r="I31" s="108"/>
      <c r="J31" s="108"/>
      <c r="K31" s="108"/>
      <c r="L31" s="108"/>
      <c r="M31" s="108"/>
      <c r="N31" s="113"/>
      <c r="O31" s="113"/>
      <c r="P31" s="113"/>
      <c r="Q31" s="108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 t="n">
        <f aca="false">+C32+E32-B32-D32</f>
        <v>0</v>
      </c>
      <c r="G32" s="108"/>
      <c r="H32" s="107"/>
      <c r="I32" s="108"/>
      <c r="J32" s="108"/>
      <c r="K32" s="108"/>
      <c r="L32" s="108"/>
      <c r="M32" s="108"/>
      <c r="N32" s="113"/>
      <c r="Q32" s="108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 t="n">
        <f aca="false">+C33+E33-B33-D33</f>
        <v>0</v>
      </c>
      <c r="G33" s="108"/>
      <c r="H33" s="107"/>
      <c r="I33" s="108"/>
      <c r="J33" s="108"/>
      <c r="K33" s="108"/>
      <c r="L33" s="108"/>
      <c r="M33" s="108"/>
      <c r="N33" s="113"/>
      <c r="Q33" s="108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 t="n">
        <f aca="false">+C34+E34-B34-D34</f>
        <v>0</v>
      </c>
      <c r="G34" s="108"/>
      <c r="H34" s="107"/>
      <c r="I34" s="108"/>
      <c r="J34" s="108"/>
      <c r="K34" s="108"/>
      <c r="L34" s="108"/>
      <c r="M34" s="108"/>
      <c r="N34" s="113"/>
      <c r="Q34" s="108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 t="n">
        <f aca="false">+C35+E35-B35-D35</f>
        <v>0</v>
      </c>
      <c r="G35" s="108"/>
      <c r="H35" s="107"/>
      <c r="I35" s="108"/>
      <c r="J35" s="108"/>
      <c r="K35" s="108"/>
      <c r="L35" s="108"/>
      <c r="M35" s="108"/>
      <c r="N35" s="113"/>
      <c r="Q35" s="108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A36" s="107"/>
      <c r="B36" s="108" t="n">
        <f aca="false">SUM(B5:B35)</f>
        <v>5112851</v>
      </c>
      <c r="C36" s="108" t="n">
        <f aca="false">SUM(C5:C35)</f>
        <v>5503619</v>
      </c>
      <c r="D36" s="108" t="n">
        <f aca="false">SUM(D5:D35)</f>
        <v>0</v>
      </c>
      <c r="E36" s="108" t="n">
        <f aca="false">SUM(E5:E35)</f>
        <v>-323670</v>
      </c>
      <c r="F36" s="108" t="n">
        <f aca="false">SUM(F5:F35)</f>
        <v>67098</v>
      </c>
      <c r="G36" s="120"/>
      <c r="H36" s="134"/>
      <c r="J36" s="120"/>
      <c r="L36" s="120"/>
      <c r="N36" s="108"/>
      <c r="Q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A37" s="134"/>
      <c r="C37" s="120"/>
      <c r="E37" s="108"/>
      <c r="G37" s="108"/>
      <c r="H37" s="134"/>
      <c r="J37" s="108"/>
      <c r="K37" s="108"/>
      <c r="L37" s="108"/>
      <c r="N37" s="108"/>
      <c r="Q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A38" s="134"/>
      <c r="C38" s="108"/>
      <c r="D38" s="108"/>
      <c r="E38" s="108"/>
      <c r="H38" s="134"/>
      <c r="M38" s="120"/>
      <c r="N38" s="113"/>
      <c r="Q38" s="108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34"/>
      <c r="B39" s="152" t="n">
        <v>37103</v>
      </c>
      <c r="F39" s="320" t="n">
        <v>5110</v>
      </c>
      <c r="H39" s="134"/>
      <c r="N39" s="113"/>
      <c r="Q39" s="108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A40" s="134"/>
      <c r="M40" s="112"/>
      <c r="N40" s="113"/>
      <c r="Q40" s="108"/>
      <c r="R40" s="113"/>
      <c r="S40" s="114"/>
      <c r="T40" s="115"/>
      <c r="U40" s="63"/>
      <c r="V40" s="79"/>
      <c r="W40" s="110"/>
    </row>
    <row r="41" customFormat="false" ht="13.5" hidden="false" customHeight="false" outlineLevel="0" collapsed="false">
      <c r="A41" s="134"/>
      <c r="B41" s="152" t="n">
        <v>37130</v>
      </c>
      <c r="F41" s="321" t="n">
        <f aca="false">+F39+F36</f>
        <v>72208</v>
      </c>
      <c r="M41" s="112"/>
      <c r="N41" s="113"/>
      <c r="Q41" s="108"/>
      <c r="R41" s="113"/>
      <c r="S41" s="114"/>
      <c r="T41" s="115"/>
      <c r="U41" s="63"/>
      <c r="V41" s="79"/>
      <c r="W41" s="110"/>
    </row>
    <row r="42" customFormat="false" ht="13.5" hidden="false" customHeight="false" outlineLevel="0" collapsed="false">
      <c r="E42" s="0"/>
      <c r="M42" s="112"/>
      <c r="N42" s="113"/>
      <c r="Q42" s="108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E43" s="0"/>
      <c r="M43" s="112"/>
      <c r="N43" s="113"/>
      <c r="Q43" s="108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A44" s="75"/>
      <c r="B44" s="101"/>
      <c r="C44" s="101"/>
      <c r="D44" s="101"/>
      <c r="E44" s="145"/>
      <c r="F44" s="101"/>
      <c r="M44" s="112"/>
      <c r="N44" s="108"/>
      <c r="Q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107"/>
      <c r="B45" s="108"/>
      <c r="C45" s="108"/>
      <c r="D45" s="108"/>
      <c r="E45" s="108"/>
      <c r="F45" s="108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07"/>
      <c r="B46" s="9" t="s">
        <v>120</v>
      </c>
      <c r="C46" s="9"/>
      <c r="D46" s="9"/>
      <c r="E46" s="16"/>
      <c r="F46" s="108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07"/>
      <c r="B47" s="124" t="n">
        <f aca="false">+B39</f>
        <v>37103</v>
      </c>
      <c r="C47" s="9"/>
      <c r="D47" s="9"/>
      <c r="E47" s="125" t="n">
        <v>-487771.44</v>
      </c>
      <c r="F47" s="108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107"/>
      <c r="B48" s="124" t="n">
        <f aca="false">+B41</f>
        <v>37130</v>
      </c>
      <c r="C48" s="9"/>
      <c r="D48" s="9"/>
      <c r="E48" s="126" t="n">
        <f aca="false">+F36*'by type'!J3</f>
        <v>176467.74</v>
      </c>
      <c r="F48" s="108"/>
      <c r="M48" s="112"/>
      <c r="S48" s="114"/>
    </row>
    <row r="49" customFormat="false" ht="12.75" hidden="false" customHeight="false" outlineLevel="0" collapsed="false">
      <c r="A49" s="107"/>
      <c r="B49" s="9"/>
      <c r="C49" s="9"/>
      <c r="D49" s="9"/>
      <c r="E49" s="58" t="n">
        <f aca="false">+E48+E47</f>
        <v>-311303.7</v>
      </c>
      <c r="F49" s="108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34"/>
      <c r="C77" s="120"/>
      <c r="E77" s="108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34"/>
      <c r="C78" s="108"/>
      <c r="D78" s="108"/>
      <c r="E78" s="108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F79" s="120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F81" s="120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60"/>
      <c r="B84" s="160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B85" s="98"/>
      <c r="D85" s="98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6"/>
      <c r="B86" s="100"/>
      <c r="C86" s="100"/>
      <c r="D86" s="100"/>
      <c r="E86" s="192"/>
      <c r="F86" s="100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75"/>
      <c r="B87" s="101"/>
      <c r="C87" s="101"/>
      <c r="D87" s="101"/>
      <c r="E87" s="145"/>
      <c r="F87" s="101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8"/>
      <c r="G88" s="137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8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8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</row>
    <row r="120" customFormat="false" ht="12.75" hidden="false" customHeight="false" outlineLevel="0" collapsed="false">
      <c r="A120" s="134"/>
      <c r="C120" s="120"/>
      <c r="E120" s="108"/>
    </row>
    <row r="121" customFormat="false" ht="12.75" hidden="false" customHeight="false" outlineLevel="0" collapsed="false">
      <c r="A121" s="134"/>
      <c r="C121" s="108"/>
      <c r="D121" s="108"/>
      <c r="E121" s="108"/>
    </row>
    <row r="122" customFormat="false" ht="12.75" hidden="false" customHeight="false" outlineLevel="0" collapsed="false">
      <c r="A122" s="134"/>
      <c r="F122" s="120"/>
    </row>
    <row r="123" customFormat="false" ht="12.75" hidden="false" customHeight="false" outlineLevel="0" collapsed="false">
      <c r="A123" s="134"/>
    </row>
    <row r="124" customFormat="false" ht="12.75" hidden="false" customHeight="false" outlineLevel="0" collapsed="false">
      <c r="A124" s="134"/>
      <c r="F124" s="120"/>
    </row>
    <row r="125" customFormat="false" ht="12.75" hidden="false" customHeight="false" outlineLevel="0" collapsed="false">
      <c r="A125" s="134"/>
    </row>
    <row r="126" customFormat="false" ht="12.75" hidden="false" customHeight="false" outlineLevel="0" collapsed="false">
      <c r="A126" s="134"/>
    </row>
    <row r="127" customFormat="false" ht="12.75" hidden="false" customHeight="false" outlineLevel="0" collapsed="false">
      <c r="A127" s="134"/>
    </row>
    <row r="128" customFormat="false" ht="12.75" hidden="false" customHeight="false" outlineLevel="0" collapsed="false">
      <c r="A128" s="160"/>
      <c r="B128" s="160"/>
    </row>
    <row r="129" customFormat="false" ht="12.75" hidden="false" customHeight="false" outlineLevel="0" collapsed="false">
      <c r="B129" s="98"/>
      <c r="D129" s="98"/>
    </row>
    <row r="130" customFormat="false" ht="12.75" hidden="false" customHeight="false" outlineLevel="0" collapsed="false">
      <c r="A130" s="136"/>
      <c r="B130" s="100"/>
      <c r="C130" s="100"/>
      <c r="D130" s="100"/>
      <c r="E130" s="192"/>
      <c r="F130" s="100"/>
    </row>
    <row r="131" customFormat="false" ht="12.75" hidden="false" customHeight="false" outlineLevel="0" collapsed="false">
      <c r="A131" s="75"/>
      <c r="B131" s="101"/>
      <c r="C131" s="101"/>
      <c r="D131" s="101"/>
      <c r="E131" s="145"/>
      <c r="F131" s="101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37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</row>
    <row r="162" customFormat="false" ht="12.75" hidden="false" customHeight="false" outlineLevel="0" collapsed="false">
      <c r="A162" s="107"/>
      <c r="B162" s="108"/>
      <c r="C162" s="108"/>
      <c r="D162" s="108"/>
      <c r="E162" s="108"/>
      <c r="F162" s="108"/>
    </row>
    <row r="163" customFormat="false" ht="12.75" hidden="false" customHeight="false" outlineLevel="0" collapsed="false">
      <c r="A163" s="107"/>
      <c r="B163" s="108"/>
      <c r="C163" s="108"/>
      <c r="D163" s="108"/>
      <c r="E163" s="108"/>
      <c r="F163" s="108"/>
      <c r="G163" s="137"/>
    </row>
    <row r="164" customFormat="false" ht="12.75" hidden="false" customHeight="false" outlineLevel="0" collapsed="false">
      <c r="A164" s="134"/>
      <c r="C164" s="120"/>
      <c r="E164" s="108"/>
    </row>
    <row r="165" customFormat="false" ht="12.75" hidden="false" customHeight="false" outlineLevel="0" collapsed="false">
      <c r="A165" s="134"/>
      <c r="C165" s="108"/>
      <c r="D165" s="108"/>
      <c r="E165" s="108"/>
    </row>
    <row r="166" customFormat="false" ht="12.75" hidden="false" customHeight="false" outlineLevel="0" collapsed="false">
      <c r="A166" s="134"/>
      <c r="F166" s="120"/>
    </row>
    <row r="167" customFormat="false" ht="12.75" hidden="false" customHeight="false" outlineLevel="0" collapsed="false">
      <c r="A167" s="134"/>
    </row>
    <row r="168" customFormat="false" ht="12.75" hidden="false" customHeight="false" outlineLevel="0" collapsed="false">
      <c r="A168" s="134"/>
      <c r="F168" s="120"/>
    </row>
    <row r="169" customFormat="false" ht="12.75" hidden="false" customHeight="false" outlineLevel="0" collapsed="false">
      <c r="A169" s="134"/>
    </row>
    <row r="170" customFormat="false" ht="12.75" hidden="false" customHeight="false" outlineLevel="0" collapsed="false">
      <c r="A170" s="160"/>
      <c r="B170" s="160"/>
    </row>
    <row r="171" customFormat="false" ht="12.75" hidden="false" customHeight="false" outlineLevel="0" collapsed="false">
      <c r="B171" s="98"/>
      <c r="D171" s="98"/>
    </row>
    <row r="172" customFormat="false" ht="12.75" hidden="false" customHeight="false" outlineLevel="0" collapsed="false">
      <c r="A172" s="136"/>
      <c r="B172" s="100"/>
      <c r="C172" s="100"/>
      <c r="D172" s="100"/>
      <c r="E172" s="192"/>
      <c r="F172" s="100"/>
    </row>
    <row r="173" customFormat="false" ht="12.75" hidden="false" customHeight="false" outlineLevel="0" collapsed="false">
      <c r="A173" s="75"/>
      <c r="B173" s="101"/>
      <c r="C173" s="101"/>
      <c r="D173" s="101"/>
      <c r="E173" s="145"/>
      <c r="F173" s="101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</row>
    <row r="204" customFormat="false" ht="12.75" hidden="false" customHeight="false" outlineLevel="0" collapsed="false">
      <c r="A204" s="107"/>
      <c r="B204" s="108"/>
      <c r="C204" s="108"/>
      <c r="D204" s="108"/>
      <c r="E204" s="108"/>
      <c r="F204" s="108"/>
    </row>
    <row r="205" customFormat="false" ht="12.75" hidden="false" customHeight="false" outlineLevel="0" collapsed="false">
      <c r="A205" s="107"/>
      <c r="B205" s="108"/>
      <c r="C205" s="108"/>
      <c r="D205" s="108"/>
      <c r="E205" s="108"/>
      <c r="F205" s="108"/>
    </row>
    <row r="206" customFormat="false" ht="12.75" hidden="false" customHeight="false" outlineLevel="0" collapsed="false">
      <c r="A206" s="134"/>
      <c r="C206" s="120"/>
      <c r="E206" s="108"/>
    </row>
    <row r="207" customFormat="false" ht="12.75" hidden="false" customHeight="false" outlineLevel="0" collapsed="false">
      <c r="A207" s="134"/>
      <c r="C207" s="108"/>
      <c r="D207" s="108"/>
      <c r="E207" s="108"/>
    </row>
    <row r="208" customFormat="false" ht="12.75" hidden="false" customHeight="false" outlineLevel="0" collapsed="false">
      <c r="A208" s="134"/>
      <c r="F208" s="120"/>
    </row>
    <row r="209" customFormat="false" ht="12.75" hidden="false" customHeight="false" outlineLevel="0" collapsed="false">
      <c r="A209" s="134"/>
    </row>
    <row r="210" customFormat="false" ht="12.75" hidden="false" customHeight="false" outlineLevel="0" collapsed="false">
      <c r="A210" s="134"/>
      <c r="F210" s="120"/>
    </row>
    <row r="211" customFormat="false" ht="12.75" hidden="false" customHeight="false" outlineLevel="0" collapsed="false">
      <c r="A211" s="134"/>
    </row>
    <row r="214" customFormat="false" ht="12.75" hidden="false" customHeight="false" outlineLevel="0" collapsed="false">
      <c r="A214" s="160"/>
      <c r="B214" s="160"/>
    </row>
    <row r="215" customFormat="false" ht="12.75" hidden="false" customHeight="false" outlineLevel="0" collapsed="false">
      <c r="B215" s="98"/>
      <c r="D215" s="98"/>
    </row>
    <row r="216" customFormat="false" ht="12.75" hidden="false" customHeight="false" outlineLevel="0" collapsed="false">
      <c r="A216" s="136"/>
      <c r="B216" s="100"/>
      <c r="C216" s="100"/>
      <c r="D216" s="100"/>
      <c r="E216" s="192"/>
      <c r="F216" s="100"/>
    </row>
    <row r="217" customFormat="false" ht="12.75" hidden="false" customHeight="false" outlineLevel="0" collapsed="false">
      <c r="A217" s="75"/>
      <c r="B217" s="101"/>
      <c r="C217" s="101"/>
      <c r="D217" s="101"/>
      <c r="E217" s="145"/>
      <c r="F217" s="101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</row>
    <row r="247" customFormat="false" ht="12.75" hidden="false" customHeight="false" outlineLevel="0" collapsed="false">
      <c r="A247" s="107"/>
      <c r="B247" s="108"/>
      <c r="C247" s="108"/>
      <c r="D247" s="108"/>
      <c r="E247" s="108"/>
      <c r="F247" s="108"/>
    </row>
    <row r="248" customFormat="false" ht="12.75" hidden="false" customHeight="false" outlineLevel="0" collapsed="false">
      <c r="A248" s="107"/>
      <c r="B248" s="108"/>
      <c r="C248" s="108"/>
      <c r="D248" s="108"/>
      <c r="E248" s="108"/>
      <c r="F248" s="108"/>
    </row>
    <row r="249" customFormat="false" ht="12.75" hidden="false" customHeight="false" outlineLevel="0" collapsed="false">
      <c r="A249" s="107"/>
      <c r="B249" s="108"/>
      <c r="C249" s="108"/>
      <c r="D249" s="108"/>
      <c r="E249" s="108"/>
      <c r="F249" s="108"/>
    </row>
    <row r="250" customFormat="false" ht="12.75" hidden="false" customHeight="false" outlineLevel="0" collapsed="false">
      <c r="A250" s="134"/>
      <c r="C250" s="120"/>
      <c r="E250" s="108"/>
    </row>
    <row r="251" customFormat="false" ht="12.75" hidden="false" customHeight="false" outlineLevel="0" collapsed="false">
      <c r="A251" s="134"/>
      <c r="C251" s="108"/>
      <c r="D251" s="108"/>
      <c r="E251" s="108"/>
    </row>
    <row r="252" customFormat="false" ht="12.75" hidden="false" customHeight="false" outlineLevel="0" collapsed="false">
      <c r="A252" s="134"/>
      <c r="F252" s="120"/>
    </row>
    <row r="253" customFormat="false" ht="12.75" hidden="false" customHeight="false" outlineLevel="0" collapsed="false">
      <c r="A253" s="134"/>
    </row>
    <row r="254" customFormat="false" ht="12.75" hidden="false" customHeight="false" outlineLevel="0" collapsed="false">
      <c r="A254" s="134"/>
      <c r="F254" s="120"/>
    </row>
    <row r="255" customFormat="false" ht="12.75" hidden="false" customHeight="false" outlineLevel="0" collapsed="false">
      <c r="A255" s="134"/>
    </row>
    <row r="256" customFormat="false" ht="20.25" hidden="false" customHeight="false" outlineLevel="0" collapsed="false">
      <c r="A256" s="322"/>
    </row>
    <row r="258" customFormat="false" ht="12.75" hidden="false" customHeight="false" outlineLevel="0" collapsed="false">
      <c r="A258" s="160"/>
      <c r="B258" s="157"/>
    </row>
    <row r="259" customFormat="false" ht="12.75" hidden="false" customHeight="false" outlineLevel="0" collapsed="false">
      <c r="B259" s="98"/>
      <c r="D259" s="98"/>
    </row>
    <row r="260" customFormat="false" ht="12.75" hidden="false" customHeight="false" outlineLevel="0" collapsed="false">
      <c r="A260" s="136"/>
      <c r="B260" s="100"/>
      <c r="C260" s="100"/>
      <c r="D260" s="100"/>
      <c r="E260" s="192"/>
      <c r="F260" s="100"/>
    </row>
    <row r="261" customFormat="false" ht="12.75" hidden="false" customHeight="false" outlineLevel="0" collapsed="false">
      <c r="A261" s="75"/>
      <c r="B261" s="101"/>
      <c r="C261" s="101"/>
      <c r="D261" s="24"/>
      <c r="E261" s="24"/>
      <c r="F261" s="101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</row>
    <row r="289" customFormat="false" ht="12.75" hidden="false" customHeight="false" outlineLevel="0" collapsed="false">
      <c r="A289" s="107"/>
      <c r="B289" s="108"/>
      <c r="C289" s="108"/>
      <c r="D289" s="108"/>
      <c r="E289" s="108"/>
      <c r="F289" s="108"/>
    </row>
    <row r="290" customFormat="false" ht="15.75" hidden="false" customHeight="false" outlineLevel="0" collapsed="false">
      <c r="A290" s="107"/>
      <c r="B290" s="108"/>
      <c r="C290" s="108"/>
      <c r="D290" s="108"/>
      <c r="E290" s="108"/>
      <c r="F290" s="108"/>
      <c r="H290" s="156"/>
    </row>
    <row r="291" customFormat="false" ht="12.75" hidden="false" customHeight="false" outlineLevel="0" collapsed="false">
      <c r="A291" s="107"/>
      <c r="B291" s="108"/>
      <c r="C291" s="108"/>
      <c r="D291" s="108"/>
      <c r="E291" s="108"/>
      <c r="F291" s="108"/>
    </row>
    <row r="292" customFormat="false" ht="12.75" hidden="false" customHeight="false" outlineLevel="0" collapsed="false">
      <c r="A292" s="107"/>
      <c r="B292" s="108"/>
      <c r="C292" s="108"/>
      <c r="D292" s="108"/>
      <c r="E292" s="108"/>
      <c r="F292" s="108"/>
    </row>
    <row r="293" customFormat="false" ht="12.75" hidden="false" customHeight="false" outlineLevel="0" collapsed="false">
      <c r="A293" s="107"/>
      <c r="B293" s="108"/>
      <c r="C293" s="108"/>
      <c r="D293" s="108"/>
      <c r="E293" s="108"/>
      <c r="F293" s="108"/>
    </row>
    <row r="294" customFormat="false" ht="12.75" hidden="false" customHeight="false" outlineLevel="0" collapsed="false">
      <c r="A294" s="134"/>
      <c r="C294" s="120"/>
      <c r="E294" s="108"/>
    </row>
    <row r="295" customFormat="false" ht="12.75" hidden="false" customHeight="false" outlineLevel="0" collapsed="false">
      <c r="A295" s="134"/>
      <c r="C295" s="108"/>
      <c r="D295" s="108"/>
      <c r="E295" s="108"/>
    </row>
    <row r="296" customFormat="false" ht="12.75" hidden="false" customHeight="false" outlineLevel="0" collapsed="false">
      <c r="A296" s="134"/>
      <c r="B296" s="119"/>
      <c r="F296" s="120"/>
    </row>
    <row r="297" customFormat="false" ht="12.75" hidden="false" customHeight="false" outlineLevel="0" collapsed="false">
      <c r="A297" s="134"/>
    </row>
    <row r="298" customFormat="false" ht="13.5" hidden="false" customHeight="false" outlineLevel="0" collapsed="false">
      <c r="A298" s="134"/>
      <c r="B298" s="5"/>
      <c r="F298" s="323"/>
    </row>
    <row r="299" customFormat="false" ht="13.5" hidden="false" customHeight="false" outlineLevel="0" collapsed="false"/>
    <row r="301" customFormat="false" ht="12.75" hidden="false" customHeight="false" outlineLevel="0" collapsed="false">
      <c r="A301" s="160"/>
      <c r="B301" s="157"/>
    </row>
    <row r="302" customFormat="false" ht="12.75" hidden="false" customHeight="false" outlineLevel="0" collapsed="false">
      <c r="B302" s="98"/>
      <c r="D302" s="98"/>
    </row>
    <row r="303" customFormat="false" ht="12.75" hidden="false" customHeight="false" outlineLevel="0" collapsed="false">
      <c r="A303" s="136"/>
      <c r="B303" s="100"/>
      <c r="C303" s="100"/>
      <c r="D303" s="100"/>
      <c r="E303" s="192"/>
      <c r="F303" s="100"/>
    </row>
    <row r="304" customFormat="false" ht="12.75" hidden="false" customHeight="false" outlineLevel="0" collapsed="false">
      <c r="A304" s="75"/>
      <c r="B304" s="101"/>
      <c r="C304" s="101"/>
      <c r="D304" s="24"/>
      <c r="E304" s="24"/>
      <c r="F304" s="101"/>
    </row>
    <row r="305" customFormat="false" ht="12.75" hidden="false" customHeight="false" outlineLevel="0" collapsed="false">
      <c r="A305" s="107"/>
      <c r="B305" s="108"/>
      <c r="C305" s="108"/>
      <c r="D305" s="108"/>
      <c r="E305" s="108"/>
      <c r="F305" s="108"/>
    </row>
    <row r="306" customFormat="false" ht="12.75" hidden="false" customHeight="false" outlineLevel="0" collapsed="false">
      <c r="A306" s="107"/>
      <c r="B306" s="108"/>
      <c r="C306" s="108"/>
      <c r="D306" s="108"/>
      <c r="E306" s="108"/>
      <c r="F306" s="108"/>
    </row>
    <row r="307" customFormat="false" ht="12.75" hidden="false" customHeight="false" outlineLevel="0" collapsed="false">
      <c r="A307" s="107"/>
      <c r="B307" s="108"/>
      <c r="C307" s="108"/>
      <c r="D307" s="108"/>
      <c r="E307" s="108"/>
      <c r="F307" s="108"/>
    </row>
    <row r="308" customFormat="false" ht="12.75" hidden="false" customHeight="false" outlineLevel="0" collapsed="false">
      <c r="A308" s="107"/>
      <c r="B308" s="108"/>
      <c r="C308" s="108"/>
      <c r="D308" s="108"/>
      <c r="E308" s="108"/>
      <c r="F308" s="108"/>
    </row>
    <row r="309" customFormat="false" ht="12.75" hidden="false" customHeight="false" outlineLevel="0" collapsed="false">
      <c r="A309" s="107"/>
      <c r="B309" s="108"/>
      <c r="C309" s="108"/>
      <c r="D309" s="108"/>
      <c r="E309" s="108"/>
      <c r="F309" s="108"/>
    </row>
    <row r="310" customFormat="false" ht="12.75" hidden="false" customHeight="false" outlineLevel="0" collapsed="false">
      <c r="A310" s="107"/>
      <c r="B310" s="108"/>
      <c r="C310" s="108"/>
      <c r="D310" s="108"/>
      <c r="E310" s="108"/>
      <c r="F310" s="108"/>
    </row>
    <row r="311" customFormat="false" ht="12.75" hidden="false" customHeight="false" outlineLevel="0" collapsed="false">
      <c r="A311" s="107"/>
      <c r="B311" s="108"/>
      <c r="C311" s="108"/>
      <c r="D311" s="108"/>
      <c r="E311" s="108"/>
      <c r="F311" s="108"/>
    </row>
    <row r="312" customFormat="false" ht="12.75" hidden="false" customHeight="false" outlineLevel="0" collapsed="false">
      <c r="A312" s="107"/>
      <c r="B312" s="108"/>
      <c r="C312" s="108"/>
      <c r="D312" s="108"/>
      <c r="E312" s="108"/>
      <c r="F312" s="108"/>
    </row>
    <row r="313" customFormat="false" ht="12.75" hidden="false" customHeight="false" outlineLevel="0" collapsed="false">
      <c r="A313" s="107"/>
      <c r="B313" s="108"/>
      <c r="C313" s="108"/>
      <c r="D313" s="108"/>
      <c r="E313" s="108"/>
      <c r="F313" s="108"/>
    </row>
    <row r="314" customFormat="false" ht="12.75" hidden="false" customHeight="false" outlineLevel="0" collapsed="false">
      <c r="A314" s="107"/>
      <c r="B314" s="108"/>
      <c r="C314" s="108"/>
      <c r="D314" s="108"/>
      <c r="E314" s="108"/>
      <c r="F314" s="108"/>
    </row>
    <row r="315" customFormat="false" ht="12.75" hidden="false" customHeight="false" outlineLevel="0" collapsed="false">
      <c r="A315" s="107"/>
      <c r="B315" s="108"/>
      <c r="C315" s="108"/>
      <c r="D315" s="108"/>
      <c r="E315" s="108"/>
      <c r="F315" s="108"/>
    </row>
    <row r="316" customFormat="false" ht="12.75" hidden="false" customHeight="false" outlineLevel="0" collapsed="false">
      <c r="A316" s="107"/>
      <c r="B316" s="108"/>
      <c r="C316" s="108"/>
      <c r="D316" s="108"/>
      <c r="E316" s="108"/>
      <c r="F316" s="108"/>
    </row>
    <row r="317" customFormat="false" ht="12.75" hidden="false" customHeight="false" outlineLevel="0" collapsed="false">
      <c r="A317" s="107"/>
      <c r="B317" s="108"/>
      <c r="C317" s="108"/>
      <c r="D317" s="108"/>
      <c r="E317" s="108"/>
      <c r="F317" s="108"/>
    </row>
    <row r="318" customFormat="false" ht="12.75" hidden="false" customHeight="false" outlineLevel="0" collapsed="false">
      <c r="A318" s="107"/>
      <c r="B318" s="108"/>
      <c r="C318" s="108"/>
      <c r="D318" s="108"/>
      <c r="E318" s="108"/>
      <c r="F318" s="108"/>
    </row>
    <row r="319" customFormat="false" ht="12.75" hidden="false" customHeight="false" outlineLevel="0" collapsed="false">
      <c r="A319" s="107"/>
      <c r="B319" s="108"/>
      <c r="C319" s="108"/>
      <c r="D319" s="108"/>
      <c r="E319" s="108"/>
      <c r="F319" s="108"/>
    </row>
    <row r="320" customFormat="false" ht="12.75" hidden="false" customHeight="false" outlineLevel="0" collapsed="false">
      <c r="A320" s="107"/>
      <c r="B320" s="108"/>
      <c r="C320" s="108"/>
      <c r="D320" s="108"/>
      <c r="E320" s="108"/>
      <c r="F320" s="108"/>
    </row>
    <row r="321" customFormat="false" ht="12.75" hidden="false" customHeight="false" outlineLevel="0" collapsed="false">
      <c r="A321" s="107"/>
      <c r="B321" s="108"/>
      <c r="C321" s="108"/>
      <c r="D321" s="108"/>
      <c r="E321" s="108"/>
      <c r="F321" s="108"/>
    </row>
    <row r="322" customFormat="false" ht="12.75" hidden="false" customHeight="false" outlineLevel="0" collapsed="false">
      <c r="A322" s="107"/>
      <c r="B322" s="108"/>
      <c r="C322" s="108"/>
      <c r="D322" s="108"/>
      <c r="E322" s="108"/>
      <c r="F322" s="108"/>
    </row>
    <row r="323" customFormat="false" ht="12.75" hidden="false" customHeight="false" outlineLevel="0" collapsed="false">
      <c r="A323" s="107"/>
      <c r="B323" s="108"/>
      <c r="C323" s="108"/>
      <c r="D323" s="108"/>
      <c r="E323" s="108"/>
      <c r="F323" s="108"/>
    </row>
    <row r="324" customFormat="false" ht="12.75" hidden="false" customHeight="false" outlineLevel="0" collapsed="false">
      <c r="A324" s="107"/>
      <c r="B324" s="108"/>
      <c r="C324" s="108"/>
      <c r="D324" s="108"/>
      <c r="E324" s="108"/>
      <c r="F324" s="108"/>
    </row>
    <row r="325" customFormat="false" ht="12.75" hidden="false" customHeight="false" outlineLevel="0" collapsed="false">
      <c r="A325" s="107"/>
      <c r="B325" s="108"/>
      <c r="C325" s="108"/>
      <c r="D325" s="108"/>
      <c r="E325" s="108"/>
      <c r="F325" s="108"/>
    </row>
    <row r="326" customFormat="false" ht="12.75" hidden="false" customHeight="false" outlineLevel="0" collapsed="false">
      <c r="A326" s="107"/>
      <c r="B326" s="108"/>
      <c r="C326" s="108"/>
      <c r="D326" s="108"/>
      <c r="E326" s="108"/>
      <c r="F326" s="108"/>
    </row>
    <row r="327" customFormat="false" ht="12.75" hidden="false" customHeight="false" outlineLevel="0" collapsed="false">
      <c r="A327" s="107"/>
      <c r="B327" s="108"/>
      <c r="C327" s="108"/>
      <c r="D327" s="108"/>
      <c r="E327" s="108"/>
      <c r="F327" s="108"/>
    </row>
    <row r="328" customFormat="false" ht="12.75" hidden="false" customHeight="false" outlineLevel="0" collapsed="false">
      <c r="A328" s="107"/>
      <c r="B328" s="108"/>
      <c r="C328" s="108"/>
      <c r="D328" s="108"/>
      <c r="E328" s="108"/>
      <c r="F328" s="108"/>
    </row>
    <row r="329" customFormat="false" ht="12.75" hidden="false" customHeight="false" outlineLevel="0" collapsed="false">
      <c r="A329" s="107"/>
      <c r="B329" s="108"/>
      <c r="C329" s="108"/>
      <c r="D329" s="108"/>
      <c r="E329" s="108"/>
      <c r="F329" s="108"/>
    </row>
    <row r="330" customFormat="false" ht="12.75" hidden="false" customHeight="false" outlineLevel="0" collapsed="false">
      <c r="A330" s="107"/>
      <c r="B330" s="108"/>
      <c r="C330" s="108"/>
      <c r="D330" s="108"/>
      <c r="E330" s="108"/>
      <c r="F330" s="108"/>
    </row>
    <row r="331" customFormat="false" ht="12.75" hidden="false" customHeight="false" outlineLevel="0" collapsed="false">
      <c r="A331" s="107"/>
      <c r="B331" s="108"/>
      <c r="C331" s="108"/>
      <c r="D331" s="108"/>
      <c r="E331" s="108"/>
      <c r="F331" s="108"/>
    </row>
    <row r="332" customFormat="false" ht="12.75" hidden="false" customHeight="false" outlineLevel="0" collapsed="false">
      <c r="A332" s="107"/>
      <c r="B332" s="108"/>
      <c r="C332" s="108"/>
      <c r="D332" s="108"/>
      <c r="E332" s="108"/>
      <c r="F332" s="108"/>
    </row>
    <row r="333" customFormat="false" ht="12.75" hidden="false" customHeight="false" outlineLevel="0" collapsed="false">
      <c r="A333" s="107"/>
      <c r="B333" s="108"/>
      <c r="C333" s="108"/>
      <c r="D333" s="108"/>
      <c r="E333" s="108"/>
      <c r="F333" s="108"/>
    </row>
    <row r="334" customFormat="false" ht="12.75" hidden="false" customHeight="false" outlineLevel="0" collapsed="false">
      <c r="A334" s="107"/>
      <c r="B334" s="108"/>
      <c r="C334" s="108"/>
      <c r="D334" s="108"/>
      <c r="E334" s="108"/>
      <c r="F334" s="108"/>
    </row>
    <row r="335" customFormat="false" ht="12.75" hidden="false" customHeight="false" outlineLevel="0" collapsed="false">
      <c r="A335" s="107"/>
      <c r="B335" s="108"/>
      <c r="C335" s="108"/>
      <c r="D335" s="108"/>
      <c r="E335" s="108"/>
      <c r="F335" s="108"/>
    </row>
    <row r="336" customFormat="false" ht="12.75" hidden="false" customHeight="false" outlineLevel="0" collapsed="false">
      <c r="A336" s="107"/>
      <c r="B336" s="108"/>
      <c r="C336" s="108"/>
      <c r="D336" s="108"/>
      <c r="E336" s="108"/>
      <c r="F336" s="108"/>
    </row>
    <row r="337" customFormat="false" ht="12.75" hidden="false" customHeight="false" outlineLevel="0" collapsed="false">
      <c r="A337" s="134"/>
      <c r="C337" s="120"/>
      <c r="E337" s="108"/>
    </row>
    <row r="338" customFormat="false" ht="12.75" hidden="false" customHeight="false" outlineLevel="0" collapsed="false">
      <c r="A338" s="134"/>
      <c r="C338" s="108"/>
      <c r="D338" s="108"/>
      <c r="E338" s="108"/>
    </row>
    <row r="339" customFormat="false" ht="12.75" hidden="false" customHeight="false" outlineLevel="0" collapsed="false">
      <c r="A339" s="134"/>
      <c r="B339" s="119"/>
      <c r="F339" s="324"/>
    </row>
    <row r="340" customFormat="false" ht="12.75" hidden="false" customHeight="false" outlineLevel="0" collapsed="false">
      <c r="A340" s="134"/>
    </row>
    <row r="341" customFormat="false" ht="13.5" hidden="false" customHeight="false" outlineLevel="0" collapsed="false">
      <c r="A341" s="134"/>
      <c r="B341" s="5"/>
      <c r="F341" s="323"/>
    </row>
    <row r="342" customFormat="false" ht="13.5" hidden="false" customHeight="false" outlineLevel="0" collapsed="false"/>
    <row r="345" customFormat="false" ht="12.75" hidden="false" customHeight="false" outlineLevel="0" collapsed="false">
      <c r="A345" s="160"/>
      <c r="B345" s="157"/>
      <c r="G345" s="160"/>
      <c r="H345" s="157"/>
      <c r="K345" s="155"/>
      <c r="M345" s="160"/>
      <c r="N345" s="157"/>
      <c r="Q345" s="155"/>
    </row>
    <row r="346" customFormat="false" ht="12.75" hidden="false" customHeight="false" outlineLevel="0" collapsed="false">
      <c r="B346" s="98"/>
      <c r="D346" s="98"/>
      <c r="H346" s="98"/>
      <c r="J346" s="98"/>
      <c r="K346" s="155"/>
      <c r="N346" s="98"/>
      <c r="P346" s="98"/>
      <c r="Q346" s="155"/>
    </row>
    <row r="347" customFormat="false" ht="12.75" hidden="false" customHeight="false" outlineLevel="0" collapsed="false">
      <c r="A347" s="136"/>
      <c r="B347" s="100"/>
      <c r="C347" s="100"/>
      <c r="D347" s="100"/>
      <c r="E347" s="192"/>
      <c r="F347" s="100"/>
      <c r="G347" s="136"/>
      <c r="H347" s="100"/>
      <c r="I347" s="100"/>
      <c r="J347" s="100"/>
      <c r="K347" s="192"/>
      <c r="L347" s="100"/>
      <c r="M347" s="136"/>
      <c r="N347" s="100"/>
      <c r="O347" s="100"/>
      <c r="P347" s="100"/>
      <c r="Q347" s="192"/>
      <c r="R347" s="100"/>
    </row>
    <row r="348" customFormat="false" ht="12.75" hidden="false" customHeight="false" outlineLevel="0" collapsed="false">
      <c r="A348" s="75"/>
      <c r="B348" s="101"/>
      <c r="C348" s="101"/>
      <c r="D348" s="24"/>
      <c r="E348" s="24"/>
      <c r="F348" s="101"/>
      <c r="G348" s="75"/>
      <c r="H348" s="101"/>
      <c r="I348" s="101"/>
      <c r="J348" s="24"/>
      <c r="K348" s="24"/>
      <c r="L348" s="101"/>
      <c r="M348" s="75"/>
      <c r="N348" s="101"/>
      <c r="O348" s="101"/>
      <c r="P348" s="24"/>
      <c r="Q348" s="24"/>
      <c r="R348" s="101"/>
    </row>
    <row r="349" customFormat="false" ht="12.75" hidden="false" customHeight="false" outlineLevel="0" collapsed="false">
      <c r="A349" s="107"/>
      <c r="B349" s="108"/>
      <c r="C349" s="108"/>
      <c r="D349" s="108"/>
      <c r="E349" s="108"/>
      <c r="F349" s="108"/>
      <c r="G349" s="107"/>
      <c r="H349" s="108"/>
      <c r="I349" s="108"/>
      <c r="J349" s="108"/>
      <c r="K349" s="108"/>
      <c r="L349" s="108"/>
      <c r="M349" s="107"/>
      <c r="N349" s="108"/>
      <c r="O349" s="108"/>
      <c r="P349" s="108"/>
      <c r="Q349" s="108"/>
      <c r="R349" s="108"/>
    </row>
    <row r="350" customFormat="false" ht="12.75" hidden="false" customHeight="false" outlineLevel="0" collapsed="false">
      <c r="A350" s="107"/>
      <c r="B350" s="108"/>
      <c r="C350" s="108"/>
      <c r="D350" s="108"/>
      <c r="E350" s="108"/>
      <c r="F350" s="108"/>
      <c r="G350" s="107"/>
      <c r="H350" s="108"/>
      <c r="I350" s="108"/>
      <c r="J350" s="108"/>
      <c r="K350" s="108"/>
      <c r="L350" s="108"/>
      <c r="M350" s="107"/>
      <c r="N350" s="108"/>
      <c r="O350" s="108"/>
      <c r="P350" s="108"/>
      <c r="Q350" s="108"/>
      <c r="R350" s="108"/>
    </row>
    <row r="351" customFormat="false" ht="12.75" hidden="false" customHeight="false" outlineLevel="0" collapsed="false">
      <c r="A351" s="107"/>
      <c r="B351" s="108"/>
      <c r="C351" s="108"/>
      <c r="D351" s="108"/>
      <c r="E351" s="108"/>
      <c r="F351" s="108"/>
      <c r="G351" s="107"/>
      <c r="H351" s="108"/>
      <c r="I351" s="108"/>
      <c r="J351" s="108"/>
      <c r="K351" s="108"/>
      <c r="L351" s="108"/>
      <c r="M351" s="107"/>
      <c r="N351" s="108"/>
      <c r="O351" s="108"/>
      <c r="P351" s="108"/>
      <c r="Q351" s="108"/>
      <c r="R351" s="108"/>
    </row>
    <row r="352" customFormat="false" ht="12.75" hidden="false" customHeight="false" outlineLevel="0" collapsed="false">
      <c r="A352" s="107"/>
      <c r="B352" s="108"/>
      <c r="C352" s="108"/>
      <c r="D352" s="108"/>
      <c r="E352" s="108"/>
      <c r="F352" s="108"/>
      <c r="G352" s="107"/>
      <c r="H352" s="108"/>
      <c r="I352" s="108"/>
      <c r="J352" s="108"/>
      <c r="K352" s="108"/>
      <c r="L352" s="108"/>
      <c r="M352" s="107"/>
      <c r="N352" s="108"/>
      <c r="O352" s="108"/>
      <c r="P352" s="108"/>
      <c r="Q352" s="108"/>
      <c r="R352" s="108"/>
    </row>
    <row r="353" customFormat="false" ht="12.75" hidden="false" customHeight="false" outlineLevel="0" collapsed="false">
      <c r="A353" s="107"/>
      <c r="B353" s="108"/>
      <c r="C353" s="108"/>
      <c r="D353" s="108"/>
      <c r="E353" s="108"/>
      <c r="F353" s="108"/>
      <c r="G353" s="107"/>
      <c r="H353" s="108"/>
      <c r="I353" s="108"/>
      <c r="J353" s="108"/>
      <c r="K353" s="108"/>
      <c r="L353" s="108"/>
      <c r="M353" s="107"/>
      <c r="N353" s="108"/>
      <c r="O353" s="108"/>
      <c r="P353" s="108"/>
      <c r="Q353" s="108"/>
      <c r="R353" s="108"/>
    </row>
    <row r="354" customFormat="false" ht="12.75" hidden="false" customHeight="false" outlineLevel="0" collapsed="false">
      <c r="A354" s="107"/>
      <c r="B354" s="108"/>
      <c r="C354" s="108"/>
      <c r="D354" s="108"/>
      <c r="E354" s="108"/>
      <c r="F354" s="108"/>
      <c r="G354" s="107"/>
      <c r="H354" s="108"/>
      <c r="I354" s="108"/>
      <c r="J354" s="108"/>
      <c r="K354" s="108"/>
      <c r="L354" s="108"/>
      <c r="M354" s="107"/>
      <c r="N354" s="108"/>
      <c r="O354" s="108"/>
      <c r="P354" s="108"/>
      <c r="Q354" s="108"/>
      <c r="R354" s="108"/>
    </row>
    <row r="355" customFormat="false" ht="12.75" hidden="false" customHeight="false" outlineLevel="0" collapsed="false">
      <c r="A355" s="107"/>
      <c r="B355" s="108"/>
      <c r="C355" s="108"/>
      <c r="D355" s="108"/>
      <c r="E355" s="108"/>
      <c r="F355" s="108"/>
      <c r="G355" s="107"/>
      <c r="H355" s="108"/>
      <c r="I355" s="108"/>
      <c r="J355" s="108"/>
      <c r="K355" s="108"/>
      <c r="L355" s="108"/>
      <c r="M355" s="107"/>
      <c r="N355" s="108"/>
      <c r="O355" s="108"/>
      <c r="P355" s="108"/>
      <c r="Q355" s="108"/>
      <c r="R355" s="108"/>
    </row>
    <row r="356" customFormat="false" ht="12.75" hidden="false" customHeight="false" outlineLevel="0" collapsed="false">
      <c r="A356" s="107"/>
      <c r="B356" s="108"/>
      <c r="C356" s="108"/>
      <c r="D356" s="108"/>
      <c r="E356" s="108"/>
      <c r="F356" s="108"/>
      <c r="G356" s="107"/>
      <c r="H356" s="108"/>
      <c r="I356" s="108"/>
      <c r="J356" s="108"/>
      <c r="K356" s="108"/>
      <c r="L356" s="108"/>
      <c r="M356" s="107"/>
      <c r="N356" s="108"/>
      <c r="O356" s="108"/>
      <c r="P356" s="108"/>
      <c r="Q356" s="108"/>
      <c r="R356" s="108"/>
    </row>
    <row r="357" customFormat="false" ht="12.75" hidden="false" customHeight="false" outlineLevel="0" collapsed="false">
      <c r="A357" s="107"/>
      <c r="B357" s="108"/>
      <c r="C357" s="108"/>
      <c r="D357" s="108"/>
      <c r="E357" s="108"/>
      <c r="F357" s="108"/>
      <c r="G357" s="107"/>
      <c r="H357" s="108"/>
      <c r="I357" s="108"/>
      <c r="J357" s="108"/>
      <c r="K357" s="108"/>
      <c r="L357" s="108"/>
      <c r="M357" s="107"/>
      <c r="N357" s="108"/>
      <c r="O357" s="108"/>
      <c r="P357" s="108"/>
      <c r="Q357" s="108"/>
      <c r="R357" s="108"/>
    </row>
    <row r="358" customFormat="false" ht="12.75" hidden="false" customHeight="false" outlineLevel="0" collapsed="false">
      <c r="A358" s="107"/>
      <c r="B358" s="108"/>
      <c r="C358" s="108"/>
      <c r="D358" s="108"/>
      <c r="E358" s="108"/>
      <c r="F358" s="108"/>
      <c r="G358" s="107"/>
      <c r="H358" s="108"/>
      <c r="I358" s="108"/>
      <c r="J358" s="108"/>
      <c r="K358" s="108"/>
      <c r="L358" s="108"/>
      <c r="M358" s="107"/>
      <c r="N358" s="108"/>
      <c r="O358" s="108"/>
      <c r="P358" s="108"/>
      <c r="Q358" s="108"/>
      <c r="R358" s="108"/>
    </row>
    <row r="359" customFormat="false" ht="12.75" hidden="false" customHeight="false" outlineLevel="0" collapsed="false">
      <c r="A359" s="107"/>
      <c r="B359" s="108"/>
      <c r="C359" s="108"/>
      <c r="D359" s="108"/>
      <c r="E359" s="108"/>
      <c r="F359" s="108"/>
      <c r="G359" s="107"/>
      <c r="H359" s="108"/>
      <c r="I359" s="108"/>
      <c r="J359" s="108"/>
      <c r="K359" s="108"/>
      <c r="L359" s="108"/>
      <c r="M359" s="107"/>
      <c r="N359" s="108"/>
      <c r="O359" s="108"/>
      <c r="P359" s="108"/>
      <c r="Q359" s="108"/>
      <c r="R359" s="108"/>
    </row>
    <row r="360" customFormat="false" ht="12.75" hidden="false" customHeight="false" outlineLevel="0" collapsed="false">
      <c r="A360" s="107"/>
      <c r="B360" s="108"/>
      <c r="C360" s="108"/>
      <c r="D360" s="108"/>
      <c r="E360" s="108"/>
      <c r="F360" s="108"/>
      <c r="G360" s="107"/>
      <c r="H360" s="108"/>
      <c r="I360" s="108"/>
      <c r="J360" s="108"/>
      <c r="K360" s="108"/>
      <c r="L360" s="108"/>
      <c r="M360" s="107"/>
      <c r="N360" s="108"/>
      <c r="O360" s="108"/>
      <c r="P360" s="108"/>
      <c r="Q360" s="108"/>
      <c r="R360" s="108"/>
    </row>
    <row r="361" customFormat="false" ht="12.75" hidden="false" customHeight="false" outlineLevel="0" collapsed="false">
      <c r="A361" s="107"/>
      <c r="B361" s="108"/>
      <c r="C361" s="108"/>
      <c r="D361" s="108"/>
      <c r="E361" s="108"/>
      <c r="F361" s="108"/>
      <c r="G361" s="107"/>
      <c r="H361" s="108"/>
      <c r="I361" s="108"/>
      <c r="J361" s="108"/>
      <c r="K361" s="108"/>
      <c r="L361" s="108"/>
      <c r="M361" s="107"/>
      <c r="N361" s="108"/>
      <c r="O361" s="108"/>
      <c r="P361" s="108"/>
      <c r="Q361" s="108"/>
      <c r="R361" s="108"/>
    </row>
    <row r="362" customFormat="false" ht="12.75" hidden="false" customHeight="false" outlineLevel="0" collapsed="false">
      <c r="A362" s="107"/>
      <c r="B362" s="108"/>
      <c r="C362" s="108"/>
      <c r="D362" s="108"/>
      <c r="E362" s="108"/>
      <c r="F362" s="108"/>
      <c r="G362" s="107"/>
      <c r="H362" s="108"/>
      <c r="I362" s="108"/>
      <c r="J362" s="108"/>
      <c r="K362" s="108"/>
      <c r="L362" s="108"/>
      <c r="M362" s="107"/>
      <c r="N362" s="108"/>
      <c r="O362" s="108"/>
      <c r="P362" s="108"/>
      <c r="Q362" s="108"/>
      <c r="R362" s="108"/>
    </row>
    <row r="363" customFormat="false" ht="12.75" hidden="false" customHeight="false" outlineLevel="0" collapsed="false">
      <c r="A363" s="107"/>
      <c r="B363" s="108"/>
      <c r="C363" s="108"/>
      <c r="D363" s="108"/>
      <c r="E363" s="108"/>
      <c r="F363" s="108"/>
      <c r="G363" s="107"/>
      <c r="H363" s="108"/>
      <c r="I363" s="108"/>
      <c r="J363" s="108"/>
      <c r="K363" s="108"/>
      <c r="L363" s="108"/>
      <c r="M363" s="107"/>
      <c r="N363" s="108"/>
      <c r="O363" s="108"/>
      <c r="P363" s="108"/>
      <c r="Q363" s="108"/>
      <c r="R363" s="108"/>
    </row>
    <row r="364" customFormat="false" ht="12.75" hidden="false" customHeight="false" outlineLevel="0" collapsed="false">
      <c r="A364" s="107"/>
      <c r="B364" s="108"/>
      <c r="C364" s="108"/>
      <c r="D364" s="108"/>
      <c r="E364" s="108"/>
      <c r="F364" s="108"/>
      <c r="G364" s="107"/>
      <c r="H364" s="108"/>
      <c r="I364" s="108"/>
      <c r="J364" s="108"/>
      <c r="K364" s="108"/>
      <c r="L364" s="108"/>
      <c r="M364" s="107"/>
      <c r="N364" s="108"/>
      <c r="O364" s="108"/>
      <c r="P364" s="108"/>
      <c r="Q364" s="108"/>
      <c r="R364" s="108"/>
    </row>
    <row r="365" customFormat="false" ht="12.75" hidden="false" customHeight="false" outlineLevel="0" collapsed="false">
      <c r="A365" s="107"/>
      <c r="B365" s="108"/>
      <c r="C365" s="108"/>
      <c r="D365" s="108"/>
      <c r="E365" s="108"/>
      <c r="F365" s="108"/>
      <c r="G365" s="107"/>
      <c r="H365" s="108"/>
      <c r="I365" s="108"/>
      <c r="J365" s="108"/>
      <c r="K365" s="108"/>
      <c r="L365" s="108"/>
      <c r="M365" s="107"/>
      <c r="N365" s="108"/>
      <c r="O365" s="108"/>
      <c r="P365" s="108"/>
      <c r="Q365" s="108"/>
      <c r="R365" s="108"/>
    </row>
    <row r="366" customFormat="false" ht="12.75" hidden="false" customHeight="false" outlineLevel="0" collapsed="false">
      <c r="A366" s="107"/>
      <c r="B366" s="108"/>
      <c r="C366" s="108"/>
      <c r="D366" s="108"/>
      <c r="E366" s="108"/>
      <c r="F366" s="108"/>
      <c r="G366" s="107"/>
      <c r="H366" s="108"/>
      <c r="I366" s="108"/>
      <c r="J366" s="108"/>
      <c r="K366" s="108"/>
      <c r="L366" s="108"/>
      <c r="M366" s="107"/>
      <c r="N366" s="108"/>
      <c r="O366" s="108"/>
      <c r="P366" s="108"/>
      <c r="Q366" s="108"/>
      <c r="R366" s="108"/>
    </row>
    <row r="367" customFormat="false" ht="12.75" hidden="false" customHeight="false" outlineLevel="0" collapsed="false">
      <c r="A367" s="107"/>
      <c r="B367" s="108"/>
      <c r="C367" s="108"/>
      <c r="D367" s="108"/>
      <c r="E367" s="108"/>
      <c r="F367" s="108"/>
      <c r="G367" s="107"/>
      <c r="H367" s="108"/>
      <c r="I367" s="108"/>
      <c r="J367" s="108"/>
      <c r="K367" s="108"/>
      <c r="L367" s="108"/>
      <c r="M367" s="107"/>
      <c r="N367" s="108"/>
      <c r="O367" s="108"/>
      <c r="P367" s="108"/>
      <c r="Q367" s="108"/>
      <c r="R367" s="108"/>
    </row>
    <row r="368" customFormat="false" ht="12.75" hidden="false" customHeight="false" outlineLevel="0" collapsed="false">
      <c r="A368" s="107"/>
      <c r="B368" s="108"/>
      <c r="C368" s="108"/>
      <c r="D368" s="108"/>
      <c r="E368" s="108"/>
      <c r="F368" s="108"/>
      <c r="G368" s="107"/>
      <c r="H368" s="108"/>
      <c r="I368" s="108"/>
      <c r="J368" s="108"/>
      <c r="K368" s="108"/>
      <c r="L368" s="108"/>
      <c r="M368" s="107"/>
      <c r="N368" s="108"/>
      <c r="O368" s="108"/>
      <c r="P368" s="108"/>
      <c r="Q368" s="108"/>
      <c r="R368" s="108"/>
    </row>
    <row r="369" customFormat="false" ht="12.75" hidden="false" customHeight="false" outlineLevel="0" collapsed="false">
      <c r="A369" s="107"/>
      <c r="B369" s="108"/>
      <c r="C369" s="108"/>
      <c r="D369" s="108"/>
      <c r="E369" s="108"/>
      <c r="F369" s="108"/>
      <c r="G369" s="107"/>
      <c r="H369" s="108"/>
      <c r="I369" s="108"/>
      <c r="J369" s="108"/>
      <c r="K369" s="108"/>
      <c r="L369" s="108"/>
      <c r="M369" s="107"/>
      <c r="N369" s="108"/>
      <c r="O369" s="108"/>
      <c r="P369" s="108"/>
      <c r="Q369" s="108"/>
      <c r="R369" s="108"/>
    </row>
    <row r="370" customFormat="false" ht="12.75" hidden="false" customHeight="false" outlineLevel="0" collapsed="false">
      <c r="A370" s="107"/>
      <c r="B370" s="108"/>
      <c r="C370" s="108"/>
      <c r="D370" s="108"/>
      <c r="E370" s="108"/>
      <c r="F370" s="108"/>
      <c r="G370" s="107"/>
      <c r="H370" s="108"/>
      <c r="I370" s="108"/>
      <c r="J370" s="108"/>
      <c r="K370" s="108"/>
      <c r="L370" s="108"/>
      <c r="M370" s="107"/>
      <c r="N370" s="108"/>
      <c r="O370" s="108"/>
      <c r="P370" s="108"/>
      <c r="Q370" s="108"/>
      <c r="R370" s="108"/>
    </row>
    <row r="371" customFormat="false" ht="12.75" hidden="false" customHeight="false" outlineLevel="0" collapsed="false">
      <c r="A371" s="107"/>
      <c r="B371" s="108"/>
      <c r="C371" s="108"/>
      <c r="D371" s="108"/>
      <c r="E371" s="108"/>
      <c r="F371" s="108"/>
      <c r="G371" s="107"/>
      <c r="H371" s="108"/>
      <c r="I371" s="108"/>
      <c r="J371" s="108"/>
      <c r="K371" s="108"/>
      <c r="L371" s="108"/>
      <c r="M371" s="107"/>
      <c r="N371" s="108"/>
      <c r="O371" s="108"/>
      <c r="P371" s="108"/>
      <c r="Q371" s="108"/>
      <c r="R371" s="108"/>
    </row>
    <row r="372" customFormat="false" ht="12.75" hidden="false" customHeight="false" outlineLevel="0" collapsed="false">
      <c r="A372" s="107"/>
      <c r="B372" s="108"/>
      <c r="C372" s="108"/>
      <c r="D372" s="108"/>
      <c r="E372" s="108"/>
      <c r="F372" s="108"/>
      <c r="G372" s="107"/>
      <c r="H372" s="108"/>
      <c r="I372" s="108"/>
      <c r="J372" s="108"/>
      <c r="K372" s="108"/>
      <c r="L372" s="108"/>
      <c r="M372" s="107"/>
      <c r="N372" s="108"/>
      <c r="O372" s="108"/>
      <c r="P372" s="108"/>
      <c r="Q372" s="108"/>
      <c r="R372" s="108"/>
    </row>
    <row r="373" customFormat="false" ht="12.75" hidden="false" customHeight="false" outlineLevel="0" collapsed="false">
      <c r="A373" s="107"/>
      <c r="B373" s="108"/>
      <c r="C373" s="108"/>
      <c r="D373" s="108"/>
      <c r="E373" s="108"/>
      <c r="F373" s="108"/>
      <c r="G373" s="107"/>
      <c r="H373" s="108"/>
      <c r="I373" s="108"/>
      <c r="J373" s="108"/>
      <c r="K373" s="108"/>
      <c r="L373" s="108"/>
      <c r="M373" s="107"/>
      <c r="N373" s="108"/>
      <c r="O373" s="108"/>
      <c r="P373" s="108"/>
      <c r="Q373" s="108"/>
      <c r="R373" s="108"/>
    </row>
    <row r="374" customFormat="false" ht="12.75" hidden="false" customHeight="false" outlineLevel="0" collapsed="false">
      <c r="A374" s="107"/>
      <c r="B374" s="108"/>
      <c r="C374" s="108"/>
      <c r="D374" s="108"/>
      <c r="E374" s="108"/>
      <c r="F374" s="108"/>
      <c r="G374" s="107"/>
      <c r="H374" s="108"/>
      <c r="I374" s="108"/>
      <c r="J374" s="108"/>
      <c r="K374" s="108"/>
      <c r="L374" s="108"/>
      <c r="M374" s="107"/>
      <c r="N374" s="108"/>
      <c r="O374" s="108"/>
      <c r="P374" s="108"/>
      <c r="Q374" s="108"/>
      <c r="R374" s="108"/>
    </row>
    <row r="375" customFormat="false" ht="12.75" hidden="false" customHeight="false" outlineLevel="0" collapsed="false">
      <c r="A375" s="107"/>
      <c r="B375" s="108"/>
      <c r="C375" s="108"/>
      <c r="D375" s="108"/>
      <c r="E375" s="108"/>
      <c r="F375" s="108"/>
      <c r="G375" s="107"/>
      <c r="H375" s="108"/>
      <c r="I375" s="108"/>
      <c r="J375" s="108"/>
      <c r="K375" s="108"/>
      <c r="L375" s="108"/>
      <c r="M375" s="107"/>
      <c r="N375" s="108"/>
      <c r="O375" s="108"/>
      <c r="P375" s="108"/>
      <c r="Q375" s="108"/>
      <c r="R375" s="108"/>
    </row>
    <row r="376" customFormat="false" ht="12.75" hidden="false" customHeight="false" outlineLevel="0" collapsed="false">
      <c r="A376" s="107"/>
      <c r="B376" s="108"/>
      <c r="C376" s="108"/>
      <c r="D376" s="108"/>
      <c r="E376" s="108"/>
      <c r="F376" s="108"/>
      <c r="G376" s="107"/>
      <c r="H376" s="108"/>
      <c r="I376" s="108"/>
      <c r="J376" s="108"/>
      <c r="K376" s="108"/>
      <c r="L376" s="108"/>
      <c r="M376" s="107"/>
      <c r="N376" s="108"/>
      <c r="O376" s="108"/>
      <c r="P376" s="108"/>
      <c r="Q376" s="108"/>
      <c r="R376" s="108"/>
    </row>
    <row r="377" customFormat="false" ht="12.75" hidden="false" customHeight="false" outlineLevel="0" collapsed="false">
      <c r="A377" s="107"/>
      <c r="B377" s="108"/>
      <c r="C377" s="108"/>
      <c r="D377" s="108"/>
      <c r="E377" s="108"/>
      <c r="F377" s="108"/>
      <c r="G377" s="107"/>
      <c r="H377" s="108"/>
      <c r="I377" s="108"/>
      <c r="J377" s="108"/>
      <c r="K377" s="108"/>
      <c r="L377" s="108"/>
      <c r="M377" s="107"/>
      <c r="N377" s="108"/>
      <c r="O377" s="108"/>
      <c r="P377" s="108"/>
      <c r="Q377" s="108"/>
      <c r="R377" s="108"/>
    </row>
    <row r="378" customFormat="false" ht="12.75" hidden="false" customHeight="false" outlineLevel="0" collapsed="false">
      <c r="A378" s="107"/>
      <c r="B378" s="108"/>
      <c r="C378" s="108"/>
      <c r="D378" s="108"/>
      <c r="E378" s="108"/>
      <c r="F378" s="108"/>
      <c r="G378" s="107"/>
      <c r="H378" s="108"/>
      <c r="I378" s="108"/>
      <c r="J378" s="108"/>
      <c r="K378" s="108"/>
      <c r="L378" s="108"/>
      <c r="M378" s="107"/>
      <c r="N378" s="108"/>
      <c r="O378" s="108"/>
      <c r="P378" s="108"/>
      <c r="Q378" s="108"/>
      <c r="R378" s="108"/>
    </row>
    <row r="379" customFormat="false" ht="12.75" hidden="false" customHeight="false" outlineLevel="0" collapsed="false">
      <c r="A379" s="107"/>
      <c r="B379" s="108"/>
      <c r="C379" s="108"/>
      <c r="D379" s="108"/>
      <c r="E379" s="108"/>
      <c r="F379" s="108"/>
      <c r="G379" s="107"/>
      <c r="H379" s="108"/>
      <c r="I379" s="108"/>
      <c r="J379" s="108"/>
      <c r="K379" s="108"/>
      <c r="L379" s="108"/>
      <c r="M379" s="107"/>
      <c r="N379" s="108"/>
      <c r="O379" s="108"/>
      <c r="P379" s="108"/>
      <c r="Q379" s="108"/>
      <c r="R379" s="108"/>
    </row>
    <row r="380" customFormat="false" ht="12.75" hidden="false" customHeight="false" outlineLevel="0" collapsed="false">
      <c r="A380" s="107"/>
      <c r="B380" s="108"/>
      <c r="C380" s="108"/>
      <c r="D380" s="108"/>
      <c r="E380" s="108"/>
      <c r="F380" s="108"/>
      <c r="G380" s="107"/>
      <c r="H380" s="108"/>
      <c r="I380" s="108"/>
      <c r="J380" s="108"/>
      <c r="K380" s="108"/>
      <c r="L380" s="108"/>
      <c r="M380" s="107"/>
      <c r="N380" s="108"/>
      <c r="O380" s="108"/>
      <c r="P380" s="108"/>
      <c r="Q380" s="108"/>
      <c r="R380" s="108"/>
    </row>
    <row r="381" customFormat="false" ht="12.75" hidden="false" customHeight="false" outlineLevel="0" collapsed="false">
      <c r="A381" s="134"/>
      <c r="C381" s="120"/>
      <c r="E381" s="108"/>
      <c r="G381" s="134"/>
      <c r="I381" s="120"/>
      <c r="K381" s="108"/>
      <c r="M381" s="134"/>
      <c r="O381" s="120"/>
      <c r="Q381" s="108"/>
    </row>
    <row r="382" customFormat="false" ht="12.75" hidden="false" customHeight="false" outlineLevel="0" collapsed="false">
      <c r="A382" s="134"/>
      <c r="C382" s="108"/>
      <c r="D382" s="108"/>
      <c r="E382" s="108"/>
      <c r="G382" s="134"/>
      <c r="I382" s="108"/>
      <c r="J382" s="108"/>
      <c r="K382" s="108"/>
      <c r="M382" s="134"/>
      <c r="O382" s="108"/>
      <c r="P382" s="108"/>
      <c r="Q382" s="108"/>
    </row>
    <row r="383" customFormat="false" ht="12.75" hidden="false" customHeight="false" outlineLevel="0" collapsed="false">
      <c r="A383" s="134"/>
      <c r="B383" s="119"/>
      <c r="F383" s="324"/>
      <c r="G383" s="134"/>
      <c r="H383" s="119"/>
      <c r="K383" s="155"/>
      <c r="L383" s="324"/>
      <c r="M383" s="134"/>
      <c r="N383" s="119"/>
      <c r="Q383" s="155"/>
      <c r="R383" s="324"/>
    </row>
    <row r="384" customFormat="false" ht="12.75" hidden="false" customHeight="false" outlineLevel="0" collapsed="false">
      <c r="A384" s="134"/>
      <c r="G384" s="134"/>
      <c r="K384" s="155"/>
      <c r="M384" s="134"/>
      <c r="Q384" s="155"/>
    </row>
    <row r="385" customFormat="false" ht="13.5" hidden="false" customHeight="false" outlineLevel="0" collapsed="false">
      <c r="A385" s="134"/>
      <c r="B385" s="5"/>
      <c r="F385" s="323"/>
      <c r="G385" s="134"/>
      <c r="H385" s="5"/>
      <c r="K385" s="155"/>
      <c r="L385" s="323"/>
      <c r="M385" s="134"/>
      <c r="N385" s="5"/>
      <c r="Q385" s="155"/>
      <c r="R385" s="323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5" activeCellId="3" sqref="A44 D42 D42 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16"/>
      <c r="B5" s="0" t="s">
        <v>33</v>
      </c>
      <c r="E5" s="216"/>
    </row>
    <row r="6" customFormat="false" ht="12.75" hidden="false" customHeight="false" outlineLevel="0" collapsed="false">
      <c r="A6" s="136"/>
      <c r="B6" s="98" t="n">
        <v>500632</v>
      </c>
      <c r="D6" s="98"/>
      <c r="E6" s="136"/>
      <c r="F6" s="98"/>
      <c r="H6" s="98"/>
    </row>
    <row r="7" customFormat="false" ht="12.75" hidden="false" customHeight="false" outlineLevel="0" collapsed="false">
      <c r="A7" s="75" t="s">
        <v>113</v>
      </c>
      <c r="B7" s="101" t="s">
        <v>114</v>
      </c>
      <c r="C7" s="101" t="s">
        <v>115</v>
      </c>
      <c r="D7" s="101"/>
      <c r="E7" s="75"/>
      <c r="F7" s="101"/>
      <c r="G7" s="101"/>
      <c r="H7" s="101"/>
    </row>
    <row r="8" customFormat="false" ht="12.75" hidden="false" customHeight="false" outlineLevel="0" collapsed="false">
      <c r="A8" s="107" t="n">
        <v>1</v>
      </c>
      <c r="B8" s="108" t="n">
        <v>87555</v>
      </c>
      <c r="C8" s="108" t="n">
        <v>87075</v>
      </c>
      <c r="D8" s="108" t="n">
        <f aca="false">+C8-B8</f>
        <v>-480</v>
      </c>
      <c r="E8" s="107"/>
      <c r="F8" s="108"/>
      <c r="G8" s="108"/>
      <c r="H8" s="108"/>
    </row>
    <row r="9" customFormat="false" ht="12.75" hidden="false" customHeight="false" outlineLevel="0" collapsed="false">
      <c r="A9" s="107" t="n">
        <v>2</v>
      </c>
      <c r="B9" s="108" t="n">
        <v>98252</v>
      </c>
      <c r="C9" s="108" t="n">
        <v>97649</v>
      </c>
      <c r="D9" s="108" t="n">
        <f aca="false">+C9-B9</f>
        <v>-603</v>
      </c>
      <c r="E9" s="107"/>
      <c r="F9" s="108"/>
      <c r="G9" s="108"/>
      <c r="H9" s="108"/>
    </row>
    <row r="10" customFormat="false" ht="12.75" hidden="false" customHeight="false" outlineLevel="0" collapsed="false">
      <c r="A10" s="107" t="n">
        <v>3</v>
      </c>
      <c r="B10" s="108" t="n">
        <v>78608</v>
      </c>
      <c r="C10" s="108" t="n">
        <v>77218</v>
      </c>
      <c r="D10" s="108" t="n">
        <f aca="false">+C10-B10</f>
        <v>-1390</v>
      </c>
      <c r="E10" s="107"/>
      <c r="F10" s="108"/>
      <c r="G10" s="108"/>
      <c r="H10" s="108"/>
    </row>
    <row r="11" customFormat="false" ht="12.75" hidden="false" customHeight="false" outlineLevel="0" collapsed="false">
      <c r="A11" s="107" t="n">
        <v>4</v>
      </c>
      <c r="B11" s="108" t="n">
        <v>101009</v>
      </c>
      <c r="C11" s="108" t="n">
        <v>100503</v>
      </c>
      <c r="D11" s="108" t="n">
        <f aca="false">+C11-B11</f>
        <v>-506</v>
      </c>
      <c r="E11" s="107"/>
      <c r="F11" s="108"/>
      <c r="G11" s="108"/>
      <c r="H11" s="108"/>
    </row>
    <row r="12" customFormat="false" ht="12.75" hidden="false" customHeight="false" outlineLevel="0" collapsed="false">
      <c r="A12" s="107" t="n">
        <v>5</v>
      </c>
      <c r="B12" s="108" t="n">
        <v>90729</v>
      </c>
      <c r="C12" s="108" t="n">
        <v>89600</v>
      </c>
      <c r="D12" s="108" t="n">
        <f aca="false">+C12-B12</f>
        <v>-1129</v>
      </c>
      <c r="E12" s="107"/>
      <c r="F12" s="108"/>
      <c r="G12" s="108"/>
      <c r="H12" s="108"/>
    </row>
    <row r="13" customFormat="false" ht="12.75" hidden="false" customHeight="false" outlineLevel="0" collapsed="false">
      <c r="A13" s="107" t="n">
        <v>6</v>
      </c>
      <c r="B13" s="108" t="n">
        <v>91681</v>
      </c>
      <c r="C13" s="108" t="n">
        <v>90563</v>
      </c>
      <c r="D13" s="108" t="n">
        <f aca="false">+C13-B13</f>
        <v>-1118</v>
      </c>
      <c r="E13" s="107"/>
      <c r="F13" s="108"/>
      <c r="G13" s="108"/>
      <c r="H13" s="108"/>
    </row>
    <row r="14" customFormat="false" ht="12.75" hidden="false" customHeight="false" outlineLevel="0" collapsed="false">
      <c r="A14" s="107" t="n">
        <v>7</v>
      </c>
      <c r="B14" s="108" t="n">
        <v>105225</v>
      </c>
      <c r="C14" s="108" t="n">
        <v>103990</v>
      </c>
      <c r="D14" s="108" t="n">
        <f aca="false">+C14-B14</f>
        <v>-1235</v>
      </c>
      <c r="E14" s="107"/>
      <c r="F14" s="108"/>
      <c r="G14" s="108"/>
      <c r="H14" s="108"/>
    </row>
    <row r="15" customFormat="false" ht="12.75" hidden="false" customHeight="false" outlineLevel="0" collapsed="false">
      <c r="A15" s="107" t="n">
        <v>8</v>
      </c>
      <c r="B15" s="108" t="n">
        <v>109389</v>
      </c>
      <c r="C15" s="108" t="n">
        <v>107112</v>
      </c>
      <c r="D15" s="108" t="n">
        <f aca="false">+C15-B15</f>
        <v>-2277</v>
      </c>
      <c r="E15" s="107"/>
      <c r="F15" s="108"/>
      <c r="G15" s="108"/>
      <c r="H15" s="108"/>
    </row>
    <row r="16" customFormat="false" ht="12.75" hidden="false" customHeight="false" outlineLevel="0" collapsed="false">
      <c r="A16" s="107" t="n">
        <v>9</v>
      </c>
      <c r="B16" s="108" t="n">
        <v>96923</v>
      </c>
      <c r="C16" s="108" t="n">
        <v>96695</v>
      </c>
      <c r="D16" s="108" t="n">
        <f aca="false">+C16-B16</f>
        <v>-228</v>
      </c>
      <c r="E16" s="107"/>
      <c r="F16" s="108"/>
      <c r="G16" s="108"/>
      <c r="H16" s="108"/>
    </row>
    <row r="17" customFormat="false" ht="12.75" hidden="false" customHeight="false" outlineLevel="0" collapsed="false">
      <c r="A17" s="107" t="n">
        <v>10</v>
      </c>
      <c r="B17" s="108" t="n">
        <v>62710</v>
      </c>
      <c r="C17" s="108" t="n">
        <v>62247</v>
      </c>
      <c r="D17" s="108" t="n">
        <f aca="false">+C17-B17</f>
        <v>-463</v>
      </c>
      <c r="E17" s="107"/>
      <c r="F17" s="108"/>
      <c r="G17" s="108"/>
      <c r="H17" s="108"/>
    </row>
    <row r="18" customFormat="false" ht="12.75" hidden="false" customHeight="false" outlineLevel="0" collapsed="false">
      <c r="A18" s="107" t="n">
        <v>11</v>
      </c>
      <c r="B18" s="108" t="n">
        <v>98145</v>
      </c>
      <c r="C18" s="108" t="n">
        <v>100814</v>
      </c>
      <c r="D18" s="108" t="n">
        <f aca="false">+C18-B18</f>
        <v>2669</v>
      </c>
      <c r="E18" s="107"/>
      <c r="F18" s="108"/>
      <c r="G18" s="108"/>
      <c r="H18" s="108"/>
    </row>
    <row r="19" customFormat="false" ht="12.75" hidden="false" customHeight="false" outlineLevel="0" collapsed="false">
      <c r="A19" s="107" t="n">
        <v>12</v>
      </c>
      <c r="B19" s="108" t="n">
        <v>93439</v>
      </c>
      <c r="C19" s="108" t="n">
        <v>93039</v>
      </c>
      <c r="D19" s="108" t="n">
        <f aca="false">+C19-B19</f>
        <v>-400</v>
      </c>
      <c r="E19" s="107"/>
      <c r="F19" s="108"/>
      <c r="G19" s="108"/>
      <c r="H19" s="108"/>
    </row>
    <row r="20" customFormat="false" ht="12.75" hidden="false" customHeight="false" outlineLevel="0" collapsed="false">
      <c r="A20" s="107" t="n">
        <v>13</v>
      </c>
      <c r="B20" s="108" t="n">
        <v>102036</v>
      </c>
      <c r="C20" s="108" t="n">
        <v>101331</v>
      </c>
      <c r="D20" s="108" t="n">
        <f aca="false">+C20-B20</f>
        <v>-705</v>
      </c>
      <c r="E20" s="107"/>
      <c r="F20" s="108"/>
      <c r="G20" s="108"/>
      <c r="H20" s="108"/>
    </row>
    <row r="21" customFormat="false" ht="12.75" hidden="false" customHeight="false" outlineLevel="0" collapsed="false">
      <c r="A21" s="107" t="n">
        <v>14</v>
      </c>
      <c r="B21" s="108" t="n">
        <v>104231</v>
      </c>
      <c r="C21" s="108" t="n">
        <v>108641</v>
      </c>
      <c r="D21" s="108" t="n">
        <f aca="false">+C21-B21</f>
        <v>4410</v>
      </c>
      <c r="E21" s="107"/>
      <c r="F21" s="108"/>
      <c r="G21" s="108"/>
      <c r="H21" s="108"/>
    </row>
    <row r="22" customFormat="false" ht="12.75" hidden="false" customHeight="false" outlineLevel="0" collapsed="false">
      <c r="A22" s="107" t="n">
        <v>15</v>
      </c>
      <c r="B22" s="108" t="n">
        <v>108131</v>
      </c>
      <c r="C22" s="108" t="n">
        <v>109178</v>
      </c>
      <c r="D22" s="108" t="n">
        <f aca="false">+C22-B22</f>
        <v>1047</v>
      </c>
      <c r="E22" s="107"/>
      <c r="F22" s="108"/>
      <c r="G22" s="108"/>
      <c r="H22" s="108"/>
    </row>
    <row r="23" customFormat="false" ht="12.75" hidden="false" customHeight="false" outlineLevel="0" collapsed="false">
      <c r="A23" s="107" t="n">
        <v>16</v>
      </c>
      <c r="B23" s="108" t="n">
        <v>94371</v>
      </c>
      <c r="C23" s="108" t="n">
        <v>94262</v>
      </c>
      <c r="D23" s="108" t="n">
        <f aca="false">+C23-B23</f>
        <v>-109</v>
      </c>
      <c r="E23" s="107"/>
      <c r="F23" s="108"/>
      <c r="G23" s="108"/>
      <c r="H23" s="108"/>
    </row>
    <row r="24" customFormat="false" ht="12.75" hidden="false" customHeight="false" outlineLevel="0" collapsed="false">
      <c r="A24" s="107" t="n">
        <v>17</v>
      </c>
      <c r="B24" s="108" t="n">
        <v>91954</v>
      </c>
      <c r="C24" s="108" t="n">
        <v>91776</v>
      </c>
      <c r="D24" s="108" t="n">
        <f aca="false">+C24-B24</f>
        <v>-178</v>
      </c>
      <c r="E24" s="107"/>
      <c r="F24" s="108"/>
      <c r="G24" s="108"/>
      <c r="H24" s="108"/>
    </row>
    <row r="25" customFormat="false" ht="12.75" hidden="false" customHeight="false" outlineLevel="0" collapsed="false">
      <c r="A25" s="107" t="n">
        <v>18</v>
      </c>
      <c r="B25" s="108" t="n">
        <v>87470</v>
      </c>
      <c r="C25" s="108" t="n">
        <v>86776</v>
      </c>
      <c r="D25" s="108" t="n">
        <f aca="false">+C25-B25</f>
        <v>-694</v>
      </c>
      <c r="E25" s="107"/>
      <c r="F25" s="108"/>
      <c r="G25" s="108"/>
      <c r="H25" s="108"/>
    </row>
    <row r="26" customFormat="false" ht="12.75" hidden="false" customHeight="false" outlineLevel="0" collapsed="false">
      <c r="A26" s="107" t="n">
        <v>19</v>
      </c>
      <c r="B26" s="108" t="n">
        <v>83953</v>
      </c>
      <c r="C26" s="108" t="n">
        <v>86780</v>
      </c>
      <c r="D26" s="108" t="n">
        <f aca="false">+C26-B26</f>
        <v>2827</v>
      </c>
      <c r="E26" s="107"/>
      <c r="F26" s="108"/>
      <c r="G26" s="108"/>
      <c r="H26" s="108"/>
    </row>
    <row r="27" customFormat="false" ht="12.75" hidden="false" customHeight="false" outlineLevel="0" collapsed="false">
      <c r="A27" s="107" t="n">
        <v>20</v>
      </c>
      <c r="B27" s="108" t="n">
        <v>87096</v>
      </c>
      <c r="C27" s="108" t="n">
        <v>86776</v>
      </c>
      <c r="D27" s="108" t="n">
        <f aca="false">+C27-B27</f>
        <v>-320</v>
      </c>
      <c r="E27" s="107"/>
      <c r="F27" s="108"/>
      <c r="G27" s="108"/>
      <c r="H27" s="108"/>
    </row>
    <row r="28" customFormat="false" ht="12.75" hidden="false" customHeight="false" outlineLevel="0" collapsed="false">
      <c r="A28" s="107" t="n">
        <v>21</v>
      </c>
      <c r="B28" s="108" t="n">
        <v>97676</v>
      </c>
      <c r="C28" s="108" t="n">
        <v>96772</v>
      </c>
      <c r="D28" s="108" t="n">
        <f aca="false">+C28-B28</f>
        <v>-904</v>
      </c>
      <c r="E28" s="107"/>
      <c r="F28" s="108"/>
      <c r="G28" s="108"/>
      <c r="H28" s="108"/>
    </row>
    <row r="29" customFormat="false" ht="12.75" hidden="false" customHeight="false" outlineLevel="0" collapsed="false">
      <c r="A29" s="107" t="n">
        <v>22</v>
      </c>
      <c r="B29" s="108" t="n">
        <v>94387</v>
      </c>
      <c r="C29" s="108" t="n">
        <v>93565</v>
      </c>
      <c r="D29" s="108" t="n">
        <f aca="false">+C29-B29</f>
        <v>-822</v>
      </c>
      <c r="E29" s="107"/>
      <c r="F29" s="108"/>
      <c r="G29" s="108"/>
      <c r="H29" s="108"/>
    </row>
    <row r="30" customFormat="false" ht="12.75" hidden="false" customHeight="false" outlineLevel="0" collapsed="false">
      <c r="A30" s="107" t="n">
        <v>23</v>
      </c>
      <c r="B30" s="108" t="n">
        <v>97972</v>
      </c>
      <c r="C30" s="108" t="n">
        <v>98863</v>
      </c>
      <c r="D30" s="108" t="n">
        <f aca="false">+C30-B30</f>
        <v>891</v>
      </c>
      <c r="E30" s="107"/>
      <c r="F30" s="108"/>
      <c r="G30" s="108"/>
      <c r="H30" s="108"/>
    </row>
    <row r="31" customFormat="false" ht="12.75" hidden="false" customHeight="false" outlineLevel="0" collapsed="false">
      <c r="A31" s="107" t="n">
        <v>24</v>
      </c>
      <c r="B31" s="108" t="n">
        <v>94831</v>
      </c>
      <c r="C31" s="108" t="n">
        <v>94276</v>
      </c>
      <c r="D31" s="108" t="n">
        <f aca="false">+C31-B31</f>
        <v>-555</v>
      </c>
      <c r="E31" s="107"/>
      <c r="F31" s="108"/>
      <c r="G31" s="108"/>
      <c r="H31" s="108"/>
    </row>
    <row r="32" customFormat="false" ht="12.75" hidden="false" customHeight="false" outlineLevel="0" collapsed="false">
      <c r="A32" s="107" t="n">
        <v>25</v>
      </c>
      <c r="B32" s="108" t="n">
        <v>92197</v>
      </c>
      <c r="C32" s="108" t="n">
        <v>91637</v>
      </c>
      <c r="D32" s="108" t="n">
        <f aca="false">+C32-B32</f>
        <v>-560</v>
      </c>
      <c r="E32" s="107"/>
      <c r="F32" s="108"/>
      <c r="G32" s="108"/>
      <c r="H32" s="108"/>
    </row>
    <row r="33" customFormat="false" ht="12.75" hidden="false" customHeight="false" outlineLevel="0" collapsed="false">
      <c r="A33" s="107" t="n">
        <v>26</v>
      </c>
      <c r="B33" s="108" t="n">
        <v>90095</v>
      </c>
      <c r="C33" s="108" t="n">
        <v>91775</v>
      </c>
      <c r="D33" s="108" t="n">
        <f aca="false">+C33-B33</f>
        <v>1680</v>
      </c>
      <c r="E33" s="107"/>
      <c r="F33" s="108"/>
      <c r="G33" s="108"/>
      <c r="H33" s="108"/>
    </row>
    <row r="34" customFormat="false" ht="12.75" hidden="false" customHeight="false" outlineLevel="0" collapsed="false">
      <c r="A34" s="107" t="n">
        <v>27</v>
      </c>
      <c r="B34" s="108" t="n">
        <v>87986</v>
      </c>
      <c r="C34" s="108" t="n">
        <v>91776</v>
      </c>
      <c r="D34" s="108" t="n">
        <f aca="false">+C34-B34</f>
        <v>3790</v>
      </c>
      <c r="E34" s="107"/>
      <c r="F34" s="108"/>
      <c r="G34" s="108"/>
      <c r="H34" s="108"/>
    </row>
    <row r="35" customFormat="false" ht="12.75" hidden="false" customHeight="false" outlineLevel="0" collapsed="false">
      <c r="A35" s="107" t="n">
        <v>28</v>
      </c>
      <c r="B35" s="108"/>
      <c r="C35" s="108"/>
      <c r="D35" s="108" t="n">
        <f aca="false">+C35-B35</f>
        <v>0</v>
      </c>
      <c r="E35" s="107"/>
      <c r="F35" s="108"/>
      <c r="G35" s="108"/>
      <c r="H35" s="108"/>
    </row>
    <row r="36" customFormat="false" ht="12.75" hidden="false" customHeight="false" outlineLevel="0" collapsed="false">
      <c r="A36" s="107" t="n">
        <v>29</v>
      </c>
      <c r="B36" s="108"/>
      <c r="C36" s="108"/>
      <c r="D36" s="108" t="n">
        <f aca="false">+C36-B36</f>
        <v>0</v>
      </c>
      <c r="E36" s="107"/>
      <c r="F36" s="108"/>
      <c r="G36" s="108"/>
      <c r="H36" s="108"/>
    </row>
    <row r="37" customFormat="false" ht="12.75" hidden="false" customHeight="false" outlineLevel="0" collapsed="false">
      <c r="A37" s="107" t="n">
        <v>30</v>
      </c>
      <c r="B37" s="108"/>
      <c r="C37" s="108"/>
      <c r="D37" s="108" t="n">
        <f aca="false">+C37-B37</f>
        <v>0</v>
      </c>
      <c r="E37" s="107"/>
      <c r="F37" s="108"/>
      <c r="G37" s="108"/>
      <c r="H37" s="108"/>
    </row>
    <row r="38" customFormat="false" ht="12.75" hidden="false" customHeight="false" outlineLevel="0" collapsed="false">
      <c r="A38" s="107" t="n">
        <v>31</v>
      </c>
      <c r="B38" s="108"/>
      <c r="C38" s="108"/>
      <c r="D38" s="108" t="n">
        <f aca="false">+C38-B38</f>
        <v>0</v>
      </c>
      <c r="E38" s="107"/>
      <c r="F38" s="108"/>
      <c r="G38" s="108"/>
      <c r="H38" s="108"/>
    </row>
    <row r="39" customFormat="false" ht="12.75" hidden="false" customHeight="false" outlineLevel="0" collapsed="false">
      <c r="A39" s="107"/>
      <c r="B39" s="108" t="n">
        <f aca="false">SUM(B8:B38)</f>
        <v>2528051</v>
      </c>
      <c r="C39" s="108" t="n">
        <f aca="false">SUM(C8:C38)</f>
        <v>2530689</v>
      </c>
      <c r="D39" s="108" t="n">
        <f aca="false">SUM(D8:D38)</f>
        <v>2638</v>
      </c>
      <c r="E39" s="107"/>
      <c r="F39" s="108"/>
      <c r="G39" s="108"/>
      <c r="H39" s="108"/>
    </row>
    <row r="40" customFormat="false" ht="12.75" hidden="false" customHeight="false" outlineLevel="0" collapsed="false">
      <c r="A40" s="134"/>
      <c r="D40" s="111" t="n">
        <f aca="false">+summary!H4</f>
        <v>2.81</v>
      </c>
      <c r="E40" s="134"/>
      <c r="H40" s="111"/>
    </row>
    <row r="41" customFormat="false" ht="12.75" hidden="false" customHeight="false" outlineLevel="0" collapsed="false">
      <c r="D41" s="325" t="n">
        <f aca="false">+D40*D39</f>
        <v>7412.78</v>
      </c>
      <c r="F41" s="2"/>
      <c r="H41" s="325"/>
    </row>
    <row r="42" customFormat="false" ht="12.75" hidden="false" customHeight="false" outlineLevel="0" collapsed="false">
      <c r="A42" s="152" t="n">
        <v>37103</v>
      </c>
      <c r="D42" s="326" t="n">
        <v>21602.9</v>
      </c>
      <c r="E42" s="152"/>
      <c r="H42" s="325"/>
    </row>
    <row r="43" customFormat="false" ht="12.75" hidden="false" customHeight="false" outlineLevel="0" collapsed="false">
      <c r="A43" s="152" t="n">
        <v>37130</v>
      </c>
      <c r="D43" s="327" t="n">
        <f aca="false">+D42+D41</f>
        <v>29015.68</v>
      </c>
      <c r="E43" s="152"/>
      <c r="H43" s="327"/>
    </row>
    <row r="44" customFormat="false" ht="12.75" hidden="false" customHeight="false" outlineLevel="0" collapsed="false">
      <c r="D44" s="328"/>
      <c r="E44" s="79"/>
      <c r="F44" s="13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125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37103</v>
      </c>
      <c r="B48" s="9"/>
      <c r="C48" s="9"/>
      <c r="D48" s="301" t="n">
        <v>-43475</v>
      </c>
    </row>
    <row r="49" customFormat="false" ht="12.75" hidden="false" customHeight="false" outlineLevel="0" collapsed="false">
      <c r="A49" s="124" t="n">
        <f aca="false">+A43</f>
        <v>37130</v>
      </c>
      <c r="B49" s="9"/>
      <c r="C49" s="9"/>
      <c r="D49" s="37" t="n">
        <f aca="false">+D39</f>
        <v>2638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-40837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9" activeCellId="3" sqref="B13 B13 C5 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9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171</v>
      </c>
      <c r="G2" s="9"/>
      <c r="H2" s="79"/>
      <c r="I2" s="9"/>
      <c r="J2" s="9"/>
    </row>
    <row r="3" customFormat="false" ht="12.75" hidden="false" customHeight="false" outlineLevel="0" collapsed="false">
      <c r="A3" s="19" t="s">
        <v>172</v>
      </c>
      <c r="G3" s="9"/>
      <c r="H3" s="79"/>
      <c r="I3" s="9"/>
      <c r="J3" s="9"/>
    </row>
    <row r="4" customFormat="false" ht="12.75" hidden="false" customHeight="false" outlineLevel="0" collapsed="false">
      <c r="G4" s="9"/>
      <c r="H4" s="79"/>
      <c r="I4" s="9"/>
      <c r="J4" s="9"/>
    </row>
    <row r="5" customFormat="false" ht="12.75" hidden="false" customHeight="false" outlineLevel="0" collapsed="false">
      <c r="A5" s="329" t="n">
        <v>37103</v>
      </c>
      <c r="C5" s="330" t="n">
        <v>1162786.04</v>
      </c>
      <c r="E5" s="79"/>
      <c r="G5" s="9"/>
      <c r="H5" s="79"/>
      <c r="I5" s="9"/>
      <c r="J5" s="9"/>
    </row>
    <row r="6" customFormat="false" ht="12.75" hidden="false" customHeight="false" outlineLevel="0" collapsed="false">
      <c r="G6" s="9"/>
      <c r="H6" s="79"/>
      <c r="I6" s="9"/>
      <c r="J6" s="9"/>
    </row>
    <row r="7" customFormat="false" ht="12.75" hidden="false" customHeight="false" outlineLevel="0" collapsed="false">
      <c r="A7" s="152" t="n">
        <v>37130</v>
      </c>
      <c r="J7" s="9"/>
    </row>
    <row r="8" customFormat="false" ht="12.75" hidden="false" customHeight="false" outlineLevel="0" collapsed="false">
      <c r="A8" s="78" t="n">
        <v>60874</v>
      </c>
      <c r="B8" s="331" t="n">
        <v>4546</v>
      </c>
      <c r="J8" s="9"/>
    </row>
    <row r="9" customFormat="false" ht="12.75" hidden="false" customHeight="false" outlineLevel="0" collapsed="false">
      <c r="A9" s="78" t="n">
        <v>78169</v>
      </c>
      <c r="B9" s="331" t="n">
        <f aca="false">194138-187692</f>
        <v>6446</v>
      </c>
      <c r="J9" s="9"/>
    </row>
    <row r="10" customFormat="false" ht="12.75" hidden="false" customHeight="false" outlineLevel="0" collapsed="false">
      <c r="A10" s="9" t="n">
        <v>500235</v>
      </c>
      <c r="B10" s="30"/>
      <c r="J10" s="9"/>
    </row>
    <row r="11" customFormat="false" ht="12.75" hidden="false" customHeight="false" outlineLevel="0" collapsed="false">
      <c r="A11" s="78" t="n">
        <v>500248</v>
      </c>
      <c r="B11" s="331" t="n">
        <f aca="false">3861-5448</f>
        <v>-1587</v>
      </c>
      <c r="J11" s="9"/>
    </row>
    <row r="12" customFormat="false" ht="12.75" hidden="false" customHeight="false" outlineLevel="0" collapsed="false">
      <c r="A12" s="78" t="n">
        <v>500251</v>
      </c>
      <c r="B12" s="332" t="n">
        <f aca="false">16200-14629</f>
        <v>1571</v>
      </c>
      <c r="J12" s="9"/>
    </row>
    <row r="13" customFormat="false" ht="12.75" hidden="false" customHeight="false" outlineLevel="0" collapsed="false">
      <c r="A13" s="78" t="n">
        <v>500254</v>
      </c>
      <c r="B13" s="332" t="n">
        <f aca="false">2430-3276</f>
        <v>-846</v>
      </c>
      <c r="J13" s="9"/>
    </row>
    <row r="14" customFormat="false" ht="12.75" hidden="false" customHeight="false" outlineLevel="0" collapsed="false">
      <c r="A14" s="9" t="n">
        <v>500255</v>
      </c>
      <c r="B14" s="332" t="n">
        <f aca="false">14850-15953</f>
        <v>-1103</v>
      </c>
      <c r="E14" s="9" t="n">
        <v>4840.73</v>
      </c>
      <c r="J14" s="9"/>
    </row>
    <row r="15" customFormat="false" ht="12.75" hidden="false" customHeight="false" outlineLevel="0" collapsed="false">
      <c r="A15" s="9" t="n">
        <v>500262</v>
      </c>
      <c r="B15" s="332" t="n">
        <f aca="false">10800-5640</f>
        <v>5160</v>
      </c>
      <c r="E15" s="9" t="n">
        <v>67.24</v>
      </c>
      <c r="J15" s="9"/>
    </row>
    <row r="16" customFormat="false" ht="12.75" hidden="false" customHeight="false" outlineLevel="0" collapsed="false">
      <c r="A16" s="333" t="n">
        <v>500267</v>
      </c>
      <c r="B16" s="334" t="n">
        <f aca="false">1598499-1564896</f>
        <v>33603</v>
      </c>
      <c r="E16" s="9" t="n">
        <f aca="false">+E14-E15</f>
        <v>4773.49</v>
      </c>
      <c r="J16" s="9"/>
    </row>
    <row r="17" customFormat="false" ht="12.75" hidden="false" customHeight="false" outlineLevel="0" collapsed="false">
      <c r="B17" s="30" t="n">
        <f aca="false">SUM(B8:B16)</f>
        <v>47790</v>
      </c>
      <c r="J17" s="9"/>
    </row>
    <row r="18" customFormat="false" ht="12.75" hidden="false" customHeight="false" outlineLevel="0" collapsed="false">
      <c r="B18" s="79" t="n">
        <f aca="false">+B31</f>
        <v>2.81</v>
      </c>
      <c r="C18" s="335" t="n">
        <f aca="false">+B18*B17</f>
        <v>134289.9</v>
      </c>
      <c r="G18" s="9"/>
      <c r="H18" s="336"/>
      <c r="I18" s="30"/>
      <c r="J18" s="9"/>
    </row>
    <row r="19" customFormat="false" ht="12.75" hidden="false" customHeight="false" outlineLevel="0" collapsed="false">
      <c r="C19" s="337" t="n">
        <f aca="false">+C18+C5</f>
        <v>1297075.94</v>
      </c>
      <c r="E19" s="79"/>
      <c r="G19" s="9"/>
      <c r="H19" s="336"/>
      <c r="I19" s="30"/>
      <c r="J19" s="9"/>
    </row>
    <row r="20" customFormat="false" ht="12.75" hidden="false" customHeight="false" outlineLevel="0" collapsed="false">
      <c r="E20" s="79"/>
      <c r="G20" s="9"/>
      <c r="H20" s="336"/>
      <c r="I20" s="30"/>
      <c r="J20" s="9"/>
    </row>
    <row r="21" customFormat="false" ht="12.75" hidden="false" customHeight="false" outlineLevel="0" collapsed="false">
      <c r="A21" s="9" t="s">
        <v>173</v>
      </c>
      <c r="G21" s="9"/>
      <c r="H21" s="336"/>
      <c r="I21" s="30"/>
      <c r="J21" s="9"/>
    </row>
    <row r="22" customFormat="false" ht="12.75" hidden="false" customHeight="false" outlineLevel="0" collapsed="false">
      <c r="A22" s="19" t="s">
        <v>174</v>
      </c>
      <c r="G22" s="9"/>
      <c r="H22" s="336"/>
      <c r="I22" s="30"/>
      <c r="J22" s="9"/>
    </row>
    <row r="23" customFormat="false" ht="12.75" hidden="false" customHeight="false" outlineLevel="0" collapsed="false">
      <c r="G23" s="9"/>
      <c r="H23" s="336"/>
      <c r="I23" s="30"/>
      <c r="J23" s="9"/>
    </row>
    <row r="24" customFormat="false" ht="12.75" hidden="false" customHeight="false" outlineLevel="0" collapsed="false">
      <c r="G24" s="9"/>
      <c r="H24" s="336"/>
      <c r="I24" s="30"/>
      <c r="J24" s="9"/>
    </row>
    <row r="25" customFormat="false" ht="12.75" hidden="false" customHeight="false" outlineLevel="0" collapsed="false">
      <c r="A25" s="338" t="n">
        <v>37103</v>
      </c>
      <c r="C25" s="330" t="n">
        <v>275313.72</v>
      </c>
      <c r="G25" s="9"/>
      <c r="H25" s="79"/>
      <c r="I25" s="30"/>
      <c r="J25" s="9"/>
    </row>
    <row r="26" customFormat="false" ht="12.75" hidden="false" customHeight="false" outlineLevel="0" collapsed="false">
      <c r="F26" s="40"/>
      <c r="G26" s="9"/>
      <c r="H26" s="79"/>
      <c r="I26" s="9"/>
      <c r="J26" s="9"/>
    </row>
    <row r="27" customFormat="false" ht="12.75" hidden="false" customHeight="false" outlineLevel="0" collapsed="false">
      <c r="A27" s="152" t="n">
        <v>37129</v>
      </c>
      <c r="G27" s="9"/>
      <c r="H27" s="79"/>
      <c r="I27" s="9"/>
      <c r="J27" s="9"/>
    </row>
    <row r="28" customFormat="false" ht="12.75" hidden="false" customHeight="false" outlineLevel="0" collapsed="false">
      <c r="A28" s="9" t="n">
        <v>9164</v>
      </c>
      <c r="B28" s="301"/>
      <c r="G28" s="9"/>
      <c r="H28" s="79"/>
      <c r="I28" s="9"/>
      <c r="J28" s="9"/>
    </row>
    <row r="29" customFormat="false" ht="12.75" hidden="false" customHeight="false" outlineLevel="0" collapsed="false">
      <c r="A29" s="9" t="n">
        <v>9167</v>
      </c>
      <c r="B29" s="301"/>
    </row>
    <row r="30" customFormat="false" ht="12.75" hidden="false" customHeight="false" outlineLevel="0" collapsed="false">
      <c r="B30" s="30" t="n">
        <f aca="false">+B29+B28</f>
        <v>0</v>
      </c>
    </row>
    <row r="31" customFormat="false" ht="12.75" hidden="false" customHeight="false" outlineLevel="0" collapsed="false">
      <c r="B31" s="79" t="n">
        <f aca="false">+summary!H4</f>
        <v>2.81</v>
      </c>
      <c r="C31" s="335" t="n">
        <f aca="false">+B31*B30</f>
        <v>0</v>
      </c>
    </row>
    <row r="32" customFormat="false" ht="12.75" hidden="false" customHeight="false" outlineLevel="0" collapsed="false">
      <c r="C32" s="337" t="n">
        <f aca="false">+C31+C25</f>
        <v>275313.72</v>
      </c>
      <c r="E32" s="79"/>
    </row>
    <row r="34" customFormat="false" ht="12.75" hidden="false" customHeight="false" outlineLevel="0" collapsed="false">
      <c r="E34" s="220"/>
    </row>
    <row r="35" customFormat="false" ht="12.75" hidden="false" customHeight="false" outlineLevel="0" collapsed="false">
      <c r="A35" s="9" t="s">
        <v>173</v>
      </c>
      <c r="E35" s="79"/>
    </row>
    <row r="36" customFormat="false" ht="12.75" hidden="false" customHeight="false" outlineLevel="0" collapsed="false">
      <c r="A36" s="9" t="s">
        <v>175</v>
      </c>
      <c r="E36" s="9" t="s">
        <v>125</v>
      </c>
      <c r="F36" s="34" t="n">
        <v>24268</v>
      </c>
      <c r="G36" s="34" t="n">
        <v>24693</v>
      </c>
      <c r="H36" s="34" t="n">
        <v>24361</v>
      </c>
    </row>
    <row r="37" customFormat="false" ht="12.75" hidden="false" customHeight="false" outlineLevel="0" collapsed="false">
      <c r="E37" s="124" t="n">
        <f aca="false">+A5</f>
        <v>37103</v>
      </c>
      <c r="F37" s="301" t="n">
        <v>223026</v>
      </c>
      <c r="G37" s="30" t="n">
        <v>117857</v>
      </c>
      <c r="H37" s="301" t="n">
        <v>138810</v>
      </c>
      <c r="I37" s="30"/>
    </row>
    <row r="38" customFormat="false" ht="12.75" hidden="false" customHeight="false" outlineLevel="0" collapsed="false">
      <c r="E38" s="124" t="n">
        <f aca="false">+A7</f>
        <v>37130</v>
      </c>
      <c r="F38" s="37" t="n">
        <f aca="false">+B17</f>
        <v>47790</v>
      </c>
      <c r="G38" s="37" t="n">
        <f aca="false">+B30</f>
        <v>0</v>
      </c>
      <c r="H38" s="37" t="n">
        <f aca="false">+B45</f>
        <v>8548</v>
      </c>
      <c r="I38" s="30"/>
    </row>
    <row r="39" customFormat="false" ht="12.75" hidden="false" customHeight="false" outlineLevel="0" collapsed="false">
      <c r="A39" s="124" t="n">
        <v>37103</v>
      </c>
      <c r="C39" s="330" t="n">
        <v>732710.21</v>
      </c>
      <c r="F39" s="30" t="n">
        <f aca="false">+F38+F37</f>
        <v>270816</v>
      </c>
      <c r="G39" s="30" t="n">
        <f aca="false">+G38+G37</f>
        <v>117857</v>
      </c>
      <c r="H39" s="30" t="n">
        <f aca="false">+H38+H37</f>
        <v>147358</v>
      </c>
      <c r="I39" s="30" t="n">
        <f aca="false">+H39+G39+F39</f>
        <v>536031</v>
      </c>
    </row>
    <row r="40" customFormat="false" ht="12.75" hidden="false" customHeight="false" outlineLevel="0" collapsed="false">
      <c r="G40" s="9"/>
      <c r="H40" s="79"/>
      <c r="I40" s="9"/>
    </row>
    <row r="41" customFormat="false" ht="12.75" hidden="false" customHeight="false" outlineLevel="0" collapsed="false">
      <c r="A41" s="158" t="n">
        <v>37130</v>
      </c>
      <c r="G41" s="9"/>
    </row>
    <row r="42" customFormat="false" ht="12.75" hidden="false" customHeight="false" outlineLevel="0" collapsed="false">
      <c r="A42" s="78" t="n">
        <v>500241</v>
      </c>
      <c r="B42" s="30"/>
      <c r="G42" s="9"/>
    </row>
    <row r="43" customFormat="false" ht="12.75" hidden="false" customHeight="false" outlineLevel="0" collapsed="false">
      <c r="A43" s="9" t="n">
        <v>500391</v>
      </c>
      <c r="B43" s="301" t="n">
        <v>6939</v>
      </c>
      <c r="G43" s="9"/>
      <c r="H43" s="339"/>
      <c r="I43" s="30"/>
    </row>
    <row r="44" customFormat="false" ht="12.75" hidden="false" customHeight="false" outlineLevel="0" collapsed="false">
      <c r="A44" s="9" t="n">
        <v>500392</v>
      </c>
      <c r="B44" s="340" t="n">
        <v>1609</v>
      </c>
      <c r="G44" s="9"/>
      <c r="H44" s="339"/>
      <c r="I44" s="30"/>
    </row>
    <row r="45" customFormat="false" ht="12.75" hidden="false" customHeight="false" outlineLevel="0" collapsed="false">
      <c r="B45" s="30" t="n">
        <f aca="false">SUM(B42:B44)</f>
        <v>8548</v>
      </c>
      <c r="G45" s="9"/>
      <c r="H45" s="339"/>
      <c r="I45" s="30"/>
    </row>
    <row r="46" customFormat="false" ht="12.75" hidden="false" customHeight="false" outlineLevel="0" collapsed="false">
      <c r="B46" s="335" t="n">
        <f aca="false">+B31</f>
        <v>2.81</v>
      </c>
      <c r="C46" s="335" t="n">
        <f aca="false">+B46*B45</f>
        <v>24019.88</v>
      </c>
      <c r="H46" s="339"/>
      <c r="I46" s="30"/>
    </row>
    <row r="47" customFormat="false" ht="12.75" hidden="false" customHeight="false" outlineLevel="0" collapsed="false">
      <c r="C47" s="337" t="n">
        <f aca="false">+C46+C39</f>
        <v>756730.09</v>
      </c>
      <c r="E47" s="28"/>
      <c r="H47" s="339"/>
      <c r="I47" s="30"/>
    </row>
    <row r="48" customFormat="false" ht="12.75" hidden="false" customHeight="false" outlineLevel="0" collapsed="false">
      <c r="E48" s="341"/>
      <c r="H48" s="339"/>
      <c r="I48" s="30"/>
    </row>
    <row r="49" customFormat="false" ht="12.75" hidden="false" customHeight="false" outlineLevel="0" collapsed="false">
      <c r="E49" s="28"/>
      <c r="H49" s="339"/>
      <c r="I49" s="30"/>
    </row>
    <row r="50" customFormat="false" ht="12.75" hidden="false" customHeight="false" outlineLevel="0" collapsed="false">
      <c r="C50" s="342"/>
      <c r="E50" s="341"/>
    </row>
    <row r="51" customFormat="false" ht="12.75" hidden="false" customHeight="false" outlineLevel="0" collapsed="false">
      <c r="A51" s="9" t="s">
        <v>173</v>
      </c>
      <c r="C51" s="202"/>
    </row>
    <row r="52" customFormat="false" ht="12.75" hidden="false" customHeight="false" outlineLevel="0" collapsed="false">
      <c r="A52" s="9" t="n">
        <v>21665</v>
      </c>
      <c r="B52" s="79" t="s">
        <v>176</v>
      </c>
      <c r="C52" s="343" t="n">
        <v>73449.16</v>
      </c>
      <c r="D52" s="9" t="s">
        <v>177</v>
      </c>
      <c r="E52" s="153"/>
      <c r="H52" s="339" t="n">
        <v>21665</v>
      </c>
      <c r="I52" s="30" t="n">
        <v>36403</v>
      </c>
    </row>
    <row r="53" customFormat="false" ht="12.75" hidden="false" customHeight="false" outlineLevel="0" collapsed="false">
      <c r="A53" s="9" t="n">
        <v>22664</v>
      </c>
      <c r="B53" s="79" t="s">
        <v>176</v>
      </c>
      <c r="C53" s="344" t="n">
        <v>23612.35</v>
      </c>
      <c r="D53" s="9" t="s">
        <v>178</v>
      </c>
      <c r="H53" s="339" t="n">
        <v>22664</v>
      </c>
      <c r="I53" s="30" t="n">
        <v>18932</v>
      </c>
    </row>
    <row r="54" customFormat="false" ht="12.75" hidden="false" customHeight="false" outlineLevel="0" collapsed="false">
      <c r="H54" s="345"/>
      <c r="I54" s="63"/>
    </row>
    <row r="55" customFormat="false" ht="12.75" hidden="false" customHeight="false" outlineLevel="0" collapsed="false">
      <c r="C55" s="346"/>
    </row>
    <row r="56" customFormat="false" ht="12.75" hidden="false" customHeight="false" outlineLevel="0" collapsed="false">
      <c r="C56" s="347" t="n">
        <f aca="false">+C53+C52+C47+C32+C19</f>
        <v>2426181.26</v>
      </c>
      <c r="I56" s="30" t="n">
        <f aca="false">SUM(I39:I53)</f>
        <v>591366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30" activeCellId="3" sqref="A1 D58 E36 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60"/>
      <c r="B1" s="348" t="n">
        <v>23995</v>
      </c>
      <c r="C1" s="349"/>
      <c r="D1" s="350" t="n">
        <v>22051</v>
      </c>
      <c r="F1" s="19"/>
      <c r="H1" s="173"/>
    </row>
    <row r="2" customFormat="false" ht="12.75" hidden="false" customHeight="false" outlineLevel="0" collapsed="false">
      <c r="B2" s="18" t="n">
        <v>59687</v>
      </c>
      <c r="D2" s="18" t="n">
        <v>10703</v>
      </c>
      <c r="E2" s="100"/>
      <c r="F2" s="18"/>
      <c r="G2" s="100"/>
    </row>
    <row r="3" customFormat="false" ht="12.75" hidden="false" customHeight="false" outlineLevel="0" collapsed="false">
      <c r="A3" s="75" t="s">
        <v>113</v>
      </c>
      <c r="B3" s="101" t="s">
        <v>114</v>
      </c>
      <c r="C3" s="101" t="s">
        <v>115</v>
      </c>
      <c r="D3" s="101" t="s">
        <v>114</v>
      </c>
      <c r="E3" s="101" t="s">
        <v>115</v>
      </c>
      <c r="F3" s="101" t="s">
        <v>179</v>
      </c>
      <c r="G3" s="101"/>
      <c r="H3" s="190"/>
    </row>
    <row r="4" customFormat="false" ht="12.75" hidden="false" customHeight="false" outlineLevel="0" collapsed="false">
      <c r="A4" s="107" t="n">
        <v>1</v>
      </c>
      <c r="B4" s="108"/>
      <c r="C4" s="108"/>
      <c r="D4" s="108" t="n">
        <v>17879</v>
      </c>
      <c r="E4" s="108" t="n">
        <v>24612</v>
      </c>
      <c r="F4" s="108" t="n">
        <f aca="false">+E4+C4-D4-B4</f>
        <v>6733</v>
      </c>
      <c r="G4" s="108"/>
      <c r="I4" s="108"/>
      <c r="J4" s="108"/>
    </row>
    <row r="5" customFormat="false" ht="12.75" hidden="false" customHeight="false" outlineLevel="0" collapsed="false">
      <c r="A5" s="107" t="n">
        <v>2</v>
      </c>
      <c r="B5" s="108"/>
      <c r="C5" s="108"/>
      <c r="D5" s="108" t="n">
        <v>15280</v>
      </c>
      <c r="E5" s="108" t="n">
        <v>24612</v>
      </c>
      <c r="F5" s="108" t="n">
        <f aca="false">+E5+C5-D5-B5</f>
        <v>9332</v>
      </c>
      <c r="G5" s="108"/>
      <c r="I5" s="108"/>
      <c r="J5" s="108"/>
    </row>
    <row r="6" customFormat="false" ht="12.75" hidden="false" customHeight="false" outlineLevel="0" collapsed="false">
      <c r="A6" s="107" t="n">
        <v>3</v>
      </c>
      <c r="B6" s="108"/>
      <c r="C6" s="108"/>
      <c r="D6" s="108" t="n">
        <v>22363</v>
      </c>
      <c r="E6" s="108" t="n">
        <v>24612</v>
      </c>
      <c r="F6" s="108" t="n">
        <f aca="false">+E6+C6-D6-B6</f>
        <v>2249</v>
      </c>
      <c r="G6" s="108"/>
      <c r="I6" s="108"/>
      <c r="J6" s="108"/>
    </row>
    <row r="7" customFormat="false" ht="12.75" hidden="false" customHeight="false" outlineLevel="0" collapsed="false">
      <c r="A7" s="107" t="n">
        <v>4</v>
      </c>
      <c r="B7" s="108"/>
      <c r="C7" s="108"/>
      <c r="D7" s="108" t="n">
        <v>22522</v>
      </c>
      <c r="E7" s="108" t="n">
        <v>24612</v>
      </c>
      <c r="F7" s="108" t="n">
        <f aca="false">+E7+C7-D7-B7</f>
        <v>2090</v>
      </c>
      <c r="G7" s="108"/>
      <c r="I7" s="108"/>
      <c r="J7" s="108"/>
    </row>
    <row r="8" customFormat="false" ht="12.75" hidden="false" customHeight="false" outlineLevel="0" collapsed="false">
      <c r="A8" s="107" t="n">
        <v>5</v>
      </c>
      <c r="B8" s="108"/>
      <c r="C8" s="108"/>
      <c r="D8" s="108" t="n">
        <v>25194</v>
      </c>
      <c r="E8" s="108" t="n">
        <v>24612</v>
      </c>
      <c r="F8" s="108" t="n">
        <f aca="false">+E8+C8-D8-B8</f>
        <v>-582</v>
      </c>
      <c r="G8" s="108"/>
      <c r="I8" s="108"/>
      <c r="J8" s="108"/>
    </row>
    <row r="9" customFormat="false" ht="12.75" hidden="false" customHeight="false" outlineLevel="0" collapsed="false">
      <c r="A9" s="107" t="n">
        <v>6</v>
      </c>
      <c r="B9" s="108"/>
      <c r="C9" s="108"/>
      <c r="D9" s="108" t="n">
        <v>25342</v>
      </c>
      <c r="E9" s="108" t="n">
        <v>24612</v>
      </c>
      <c r="F9" s="108" t="n">
        <f aca="false">+E9+C9-D9-B9</f>
        <v>-730</v>
      </c>
      <c r="G9" s="108"/>
      <c r="I9" s="108"/>
      <c r="J9" s="108"/>
    </row>
    <row r="10" customFormat="false" ht="12.75" hidden="false" customHeight="false" outlineLevel="0" collapsed="false">
      <c r="A10" s="107" t="n">
        <v>7</v>
      </c>
      <c r="B10" s="108"/>
      <c r="C10" s="108"/>
      <c r="D10" s="108" t="n">
        <v>26046</v>
      </c>
      <c r="E10" s="108" t="n">
        <v>24612</v>
      </c>
      <c r="F10" s="108" t="n">
        <f aca="false">+E10+C10-D10-B10</f>
        <v>-1434</v>
      </c>
      <c r="G10" s="108"/>
      <c r="I10" s="108"/>
      <c r="J10" s="108"/>
    </row>
    <row r="11" customFormat="false" ht="12.75" hidden="false" customHeight="false" outlineLevel="0" collapsed="false">
      <c r="A11" s="107" t="n">
        <v>8</v>
      </c>
      <c r="B11" s="108" t="n">
        <v>11</v>
      </c>
      <c r="C11" s="108"/>
      <c r="D11" s="108" t="n">
        <v>24733</v>
      </c>
      <c r="E11" s="108" t="n">
        <v>24612</v>
      </c>
      <c r="F11" s="108" t="n">
        <f aca="false">+E11+C11-D11-B11</f>
        <v>-132</v>
      </c>
      <c r="G11" s="108"/>
      <c r="I11" s="108"/>
      <c r="J11" s="108"/>
    </row>
    <row r="12" customFormat="false" ht="12.75" hidden="false" customHeight="false" outlineLevel="0" collapsed="false">
      <c r="A12" s="107" t="n">
        <v>9</v>
      </c>
      <c r="B12" s="108" t="n">
        <v>22</v>
      </c>
      <c r="C12" s="108"/>
      <c r="D12" s="108" t="n">
        <v>26013</v>
      </c>
      <c r="E12" s="108" t="n">
        <v>24612</v>
      </c>
      <c r="F12" s="108" t="n">
        <f aca="false">+E12+C12-D12-B12</f>
        <v>-1423</v>
      </c>
      <c r="G12" s="108"/>
      <c r="I12" s="108"/>
      <c r="J12" s="108"/>
    </row>
    <row r="13" customFormat="false" ht="12.75" hidden="false" customHeight="false" outlineLevel="0" collapsed="false">
      <c r="A13" s="107" t="n">
        <v>10</v>
      </c>
      <c r="B13" s="108" t="n">
        <v>1</v>
      </c>
      <c r="C13" s="108"/>
      <c r="D13" s="108" t="n">
        <v>25516</v>
      </c>
      <c r="E13" s="108" t="n">
        <v>24612</v>
      </c>
      <c r="F13" s="108" t="n">
        <f aca="false">+E13+C13-D13-B13</f>
        <v>-905</v>
      </c>
      <c r="G13" s="108"/>
      <c r="I13" s="108"/>
      <c r="J13" s="108"/>
    </row>
    <row r="14" customFormat="false" ht="12.75" hidden="false" customHeight="false" outlineLevel="0" collapsed="false">
      <c r="A14" s="107" t="n">
        <v>11</v>
      </c>
      <c r="B14" s="108"/>
      <c r="C14" s="108"/>
      <c r="D14" s="108" t="n">
        <v>25869</v>
      </c>
      <c r="E14" s="108" t="n">
        <v>24612</v>
      </c>
      <c r="F14" s="108" t="n">
        <f aca="false">+E14+C14-D14-B14</f>
        <v>-1257</v>
      </c>
      <c r="G14" s="108"/>
      <c r="I14" s="108"/>
      <c r="J14" s="108"/>
    </row>
    <row r="15" customFormat="false" ht="12.75" hidden="false" customHeight="false" outlineLevel="0" collapsed="false">
      <c r="A15" s="107" t="n">
        <v>12</v>
      </c>
      <c r="B15" s="108"/>
      <c r="C15" s="108"/>
      <c r="D15" s="108" t="n">
        <v>25308</v>
      </c>
      <c r="E15" s="108" t="n">
        <v>24612</v>
      </c>
      <c r="F15" s="108" t="n">
        <f aca="false">+E15+C15-D15-B15</f>
        <v>-696</v>
      </c>
      <c r="G15" s="108"/>
      <c r="I15" s="108"/>
      <c r="J15" s="108"/>
    </row>
    <row r="16" customFormat="false" ht="12.75" hidden="false" customHeight="false" outlineLevel="0" collapsed="false">
      <c r="A16" s="107" t="n">
        <v>13</v>
      </c>
      <c r="B16" s="108"/>
      <c r="C16" s="108"/>
      <c r="D16" s="108" t="n">
        <v>25349</v>
      </c>
      <c r="E16" s="108" t="n">
        <v>24612</v>
      </c>
      <c r="F16" s="108" t="n">
        <f aca="false">+E16+C16-D16-B16</f>
        <v>-737</v>
      </c>
      <c r="G16" s="108"/>
      <c r="I16" s="108"/>
      <c r="J16" s="108"/>
    </row>
    <row r="17" customFormat="false" ht="12.75" hidden="false" customHeight="false" outlineLevel="0" collapsed="false">
      <c r="A17" s="107" t="n">
        <v>14</v>
      </c>
      <c r="B17" s="108"/>
      <c r="C17" s="108"/>
      <c r="D17" s="108" t="n">
        <v>26042</v>
      </c>
      <c r="E17" s="108" t="n">
        <v>24612</v>
      </c>
      <c r="F17" s="108" t="n">
        <f aca="false">+E17+C17-D17-B17</f>
        <v>-1430</v>
      </c>
      <c r="G17" s="108"/>
      <c r="I17" s="108"/>
      <c r="J17" s="108"/>
    </row>
    <row r="18" customFormat="false" ht="12.75" hidden="false" customHeight="false" outlineLevel="0" collapsed="false">
      <c r="A18" s="107" t="n">
        <v>15</v>
      </c>
      <c r="B18" s="108"/>
      <c r="C18" s="108"/>
      <c r="D18" s="108" t="n">
        <v>25954</v>
      </c>
      <c r="E18" s="108" t="n">
        <v>24612</v>
      </c>
      <c r="F18" s="108" t="n">
        <f aca="false">+E18+C18-D18-B18</f>
        <v>-1342</v>
      </c>
      <c r="G18" s="108"/>
      <c r="I18" s="108"/>
      <c r="J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 t="n">
        <v>26036</v>
      </c>
      <c r="E19" s="108" t="n">
        <v>24612</v>
      </c>
      <c r="F19" s="108" t="n">
        <f aca="false">+E19+C19-D19-B19</f>
        <v>-1424</v>
      </c>
      <c r="G19" s="108"/>
      <c r="I19" s="108"/>
      <c r="J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 t="n">
        <v>13182</v>
      </c>
      <c r="E20" s="108" t="n">
        <v>24612</v>
      </c>
      <c r="F20" s="108" t="n">
        <f aca="false">+E20+C20-D20-B20</f>
        <v>11430</v>
      </c>
      <c r="G20" s="108"/>
      <c r="I20" s="108"/>
      <c r="J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 t="n">
        <v>21303</v>
      </c>
      <c r="E21" s="108" t="n">
        <v>24612</v>
      </c>
      <c r="F21" s="108" t="n">
        <f aca="false">+E21+C21-D21-B21</f>
        <v>3309</v>
      </c>
      <c r="G21" s="108"/>
      <c r="I21" s="108"/>
      <c r="J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 t="n">
        <v>20687</v>
      </c>
      <c r="E22" s="108" t="n">
        <v>24612</v>
      </c>
      <c r="F22" s="108" t="n">
        <f aca="false">+E22+C22-D22-B22</f>
        <v>3925</v>
      </c>
      <c r="G22" s="108"/>
      <c r="I22" s="108"/>
      <c r="J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 t="n">
        <v>15373</v>
      </c>
      <c r="E23" s="108" t="n">
        <v>24612</v>
      </c>
      <c r="F23" s="108" t="n">
        <f aca="false">+E23+C23-D23-B23</f>
        <v>9239</v>
      </c>
      <c r="G23" s="108"/>
      <c r="I23" s="108"/>
      <c r="J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08" t="n">
        <v>7932</v>
      </c>
      <c r="E24" s="108" t="n">
        <v>16205</v>
      </c>
      <c r="F24" s="108" t="n">
        <f aca="false">+E24+C24-D24-B24</f>
        <v>8273</v>
      </c>
      <c r="G24" s="108"/>
      <c r="I24" s="108"/>
      <c r="J24" s="108"/>
    </row>
    <row r="25" customFormat="false" ht="12.75" hidden="false" customHeight="false" outlineLevel="0" collapsed="false">
      <c r="A25" s="107" t="n">
        <v>22</v>
      </c>
      <c r="B25" s="108"/>
      <c r="C25" s="108"/>
      <c r="D25" s="108" t="n">
        <v>25349</v>
      </c>
      <c r="E25" s="108" t="n">
        <v>24612</v>
      </c>
      <c r="F25" s="108" t="n">
        <f aca="false">+E25+C25-D25-B25</f>
        <v>-737</v>
      </c>
      <c r="I25" s="108"/>
      <c r="J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 t="n">
        <v>25784</v>
      </c>
      <c r="E26" s="108" t="n">
        <v>24612</v>
      </c>
      <c r="F26" s="108" t="n">
        <f aca="false">+E26+C26-D26-B26</f>
        <v>-1172</v>
      </c>
      <c r="I26" s="108"/>
      <c r="J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 t="n">
        <v>26042</v>
      </c>
      <c r="E27" s="108" t="n">
        <v>24612</v>
      </c>
      <c r="F27" s="108" t="n">
        <f aca="false">+E27+C27-D27-B27</f>
        <v>-1430</v>
      </c>
      <c r="I27" s="108"/>
      <c r="J27" s="108"/>
    </row>
    <row r="28" customFormat="false" ht="12.75" hidden="false" customHeight="false" outlineLevel="0" collapsed="false">
      <c r="A28" s="107" t="n">
        <v>25</v>
      </c>
      <c r="B28" s="108"/>
      <c r="C28" s="108"/>
      <c r="D28" s="108" t="n">
        <v>26050</v>
      </c>
      <c r="E28" s="108" t="n">
        <v>24612</v>
      </c>
      <c r="F28" s="108" t="n">
        <f aca="false">+E28+C28-D28-B28</f>
        <v>-1438</v>
      </c>
      <c r="I28" s="108"/>
      <c r="J28" s="108"/>
    </row>
    <row r="29" customFormat="false" ht="12.75" hidden="false" customHeight="false" outlineLevel="0" collapsed="false">
      <c r="A29" s="107" t="n">
        <v>26</v>
      </c>
      <c r="B29" s="108"/>
      <c r="C29" s="108"/>
      <c r="D29" s="108" t="n">
        <v>26033</v>
      </c>
      <c r="E29" s="108" t="n">
        <v>24612</v>
      </c>
      <c r="F29" s="108" t="n">
        <f aca="false">+E29+C29-D29-B29</f>
        <v>-1421</v>
      </c>
      <c r="I29" s="108"/>
      <c r="J29" s="108"/>
    </row>
    <row r="30" customFormat="false" ht="12.75" hidden="false" customHeight="false" outlineLevel="0" collapsed="false">
      <c r="A30" s="107" t="n">
        <v>27</v>
      </c>
      <c r="B30" s="108"/>
      <c r="C30" s="108"/>
      <c r="D30" s="108" t="n">
        <v>25939</v>
      </c>
      <c r="E30" s="108" t="n">
        <v>24612</v>
      </c>
      <c r="F30" s="108" t="n">
        <f aca="false">+E30+C30-D30-B30</f>
        <v>-1327</v>
      </c>
      <c r="I30" s="108"/>
      <c r="J30" s="108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 t="n">
        <f aca="false">+E31+C31-D31-B31</f>
        <v>0</v>
      </c>
      <c r="I31" s="108"/>
      <c r="J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 t="n">
        <f aca="false">+E32+C32-D32-B32</f>
        <v>0</v>
      </c>
      <c r="I32" s="108"/>
      <c r="J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 t="n">
        <f aca="false">+E33+C33-D33-B33</f>
        <v>0</v>
      </c>
      <c r="H33" s="9" t="s">
        <v>125</v>
      </c>
      <c r="I33" s="34" t="n">
        <v>23995</v>
      </c>
      <c r="J33" s="34" t="n">
        <v>22051</v>
      </c>
      <c r="K33" s="34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 t="n">
        <f aca="false">+E34+C34-D34-B34</f>
        <v>0</v>
      </c>
      <c r="H34" s="124" t="n">
        <f aca="false">+A39</f>
        <v>37103</v>
      </c>
      <c r="I34" s="301" t="n">
        <v>-178485</v>
      </c>
      <c r="J34" s="301" t="n">
        <v>-80532</v>
      </c>
      <c r="K34" s="30"/>
      <c r="L34" s="30"/>
    </row>
    <row r="35" customFormat="false" ht="12.75" hidden="false" customHeight="false" outlineLevel="0" collapsed="false">
      <c r="A35" s="107"/>
      <c r="B35" s="108" t="n">
        <f aca="false">SUM(B4:B34)</f>
        <v>34</v>
      </c>
      <c r="C35" s="108" t="n">
        <f aca="false">SUM(C4:C34)</f>
        <v>0</v>
      </c>
      <c r="D35" s="108" t="n">
        <f aca="false">SUM(D4:D34)</f>
        <v>619120</v>
      </c>
      <c r="E35" s="108" t="n">
        <f aca="false">SUM(E4:E34)</f>
        <v>656117</v>
      </c>
      <c r="F35" s="108" t="n">
        <f aca="false">SUM(F4:F34)</f>
        <v>36963</v>
      </c>
      <c r="G35" s="108"/>
      <c r="H35" s="124" t="n">
        <f aca="false">+A40</f>
        <v>37130</v>
      </c>
      <c r="I35" s="37" t="n">
        <f aca="false">+C36</f>
        <v>-34</v>
      </c>
      <c r="J35" s="37" t="n">
        <f aca="false">+E36</f>
        <v>36997</v>
      </c>
      <c r="K35" s="30"/>
      <c r="L35" s="30"/>
    </row>
    <row r="36" customFormat="false" ht="12.75" hidden="false" customHeight="false" outlineLevel="0" collapsed="false">
      <c r="C36" s="120" t="n">
        <f aca="false">+C35-B35</f>
        <v>-34</v>
      </c>
      <c r="E36" s="120" t="n">
        <f aca="false">+E35-D35</f>
        <v>36997</v>
      </c>
      <c r="F36" s="120" t="n">
        <f aca="false">+E36+C36</f>
        <v>36963</v>
      </c>
      <c r="H36" s="9"/>
      <c r="I36" s="30" t="n">
        <f aca="false">+I35+I34</f>
        <v>-178519</v>
      </c>
      <c r="J36" s="30" t="n">
        <f aca="false">+J35+J34</f>
        <v>-43535</v>
      </c>
      <c r="K36" s="30" t="n">
        <f aca="false">+J36+I36</f>
        <v>-222054</v>
      </c>
      <c r="L36" s="30"/>
    </row>
    <row r="37" customFormat="false" ht="12.75" hidden="false" customHeight="false" outlineLevel="0" collapsed="false">
      <c r="C37" s="351" t="n">
        <f aca="false">+summary!H5</f>
        <v>2.9</v>
      </c>
      <c r="E37" s="103" t="n">
        <f aca="false">+C37</f>
        <v>2.9</v>
      </c>
      <c r="F37" s="132" t="n">
        <f aca="false">+F36*E37</f>
        <v>107192.7</v>
      </c>
    </row>
    <row r="38" customFormat="false" ht="12.75" hidden="false" customHeight="false" outlineLevel="0" collapsed="false">
      <c r="C38" s="132" t="n">
        <f aca="false">+C37*C36</f>
        <v>-98.6</v>
      </c>
      <c r="E38" s="86" t="n">
        <f aca="false">+E37*E36</f>
        <v>107291.3</v>
      </c>
      <c r="F38" s="132" t="n">
        <f aca="false">+E38+C38</f>
        <v>107192.7</v>
      </c>
    </row>
    <row r="39" customFormat="false" ht="12.75" hidden="false" customHeight="false" outlineLevel="0" collapsed="false">
      <c r="A39" s="152" t="n">
        <v>37103</v>
      </c>
      <c r="B39" s="19" t="s">
        <v>138</v>
      </c>
      <c r="C39" s="352" t="n">
        <v>-1023166</v>
      </c>
      <c r="D39" s="198"/>
      <c r="E39" s="207" t="n">
        <v>-496043.34</v>
      </c>
      <c r="F39" s="131" t="n">
        <f aca="false">+E39+C39</f>
        <v>-1519209.34</v>
      </c>
    </row>
    <row r="40" customFormat="false" ht="12.75" hidden="false" customHeight="false" outlineLevel="0" collapsed="false">
      <c r="A40" s="152" t="n">
        <v>37130</v>
      </c>
      <c r="B40" s="19" t="s">
        <v>138</v>
      </c>
      <c r="C40" s="353" t="n">
        <f aca="false">+C39+C38</f>
        <v>-1023264.6</v>
      </c>
      <c r="D40" s="200"/>
      <c r="E40" s="353" t="n">
        <f aca="false">+E39+E38</f>
        <v>-388752.04</v>
      </c>
      <c r="F40" s="353" t="n">
        <f aca="false">+E40+C40</f>
        <v>-1412016.64</v>
      </c>
      <c r="H40" s="199"/>
    </row>
    <row r="41" customFormat="false" ht="12.75" hidden="false" customHeight="false" outlineLevel="0" collapsed="false">
      <c r="C41" s="354"/>
      <c r="D41" s="201"/>
      <c r="E41" s="201"/>
      <c r="H41" s="137"/>
    </row>
    <row r="42" customFormat="false" ht="12.75" hidden="false" customHeight="false" outlineLevel="0" collapsed="false">
      <c r="C42" s="201"/>
      <c r="D42" s="201"/>
      <c r="E42" s="201"/>
    </row>
    <row r="43" customFormat="false" ht="12.75" hidden="false" customHeight="false" outlineLevel="0" collapsed="false">
      <c r="C43" s="201"/>
      <c r="D43" s="201"/>
      <c r="E43" s="18" t="s">
        <v>180</v>
      </c>
    </row>
    <row r="44" customFormat="false" ht="12.75" hidden="false" customHeight="false" outlineLevel="0" collapsed="false">
      <c r="C44" s="201"/>
      <c r="D44" s="201"/>
      <c r="E44" s="18" t="n">
        <v>22864</v>
      </c>
      <c r="F44" s="330" t="n">
        <v>-58339.66</v>
      </c>
      <c r="G44" s="202" t="s">
        <v>168</v>
      </c>
      <c r="J44" s="18" t="n">
        <v>22864</v>
      </c>
      <c r="K44" s="30" t="n">
        <v>-24566</v>
      </c>
    </row>
    <row r="45" customFormat="false" ht="12.75" hidden="false" customHeight="false" outlineLevel="0" collapsed="false">
      <c r="C45" s="201"/>
      <c r="D45" s="201"/>
      <c r="E45" s="18" t="n">
        <v>20379</v>
      </c>
      <c r="F45" s="330" t="n">
        <v>-51695.87</v>
      </c>
      <c r="G45" s="202" t="s">
        <v>181</v>
      </c>
      <c r="J45" s="18" t="n">
        <v>20379</v>
      </c>
      <c r="K45" s="30" t="n">
        <v>2979</v>
      </c>
      <c r="M45" s="30"/>
    </row>
    <row r="46" customFormat="false" ht="12.75" hidden="false" customHeight="false" outlineLevel="0" collapsed="false">
      <c r="C46" s="201"/>
      <c r="D46" s="201"/>
      <c r="E46" s="18" t="n">
        <v>26357</v>
      </c>
      <c r="F46" s="355" t="n">
        <v>44144.84</v>
      </c>
      <c r="G46" s="202" t="s">
        <v>182</v>
      </c>
      <c r="J46" s="18" t="n">
        <v>26357</v>
      </c>
      <c r="K46" s="30" t="n">
        <v>26521</v>
      </c>
    </row>
    <row r="47" customFormat="false" ht="12.75" hidden="false" customHeight="false" outlineLevel="0" collapsed="false">
      <c r="C47" s="201"/>
      <c r="D47" s="201"/>
      <c r="E47" s="18" t="n">
        <v>21544</v>
      </c>
      <c r="F47" s="330" t="n">
        <v>61340.16</v>
      </c>
      <c r="G47" s="202" t="s">
        <v>183</v>
      </c>
      <c r="J47" s="18" t="n">
        <v>21544</v>
      </c>
      <c r="K47" s="30" t="n">
        <v>36108</v>
      </c>
    </row>
    <row r="48" customFormat="false" ht="12.75" hidden="false" customHeight="false" outlineLevel="0" collapsed="false">
      <c r="C48" s="201"/>
      <c r="D48" s="201"/>
      <c r="E48" s="18" t="n">
        <v>24532</v>
      </c>
      <c r="F48" s="356" t="n">
        <v>-762222.24</v>
      </c>
      <c r="G48" s="202" t="s">
        <v>184</v>
      </c>
      <c r="J48" s="18" t="n">
        <v>24532</v>
      </c>
      <c r="K48" s="301" t="n">
        <v>17769</v>
      </c>
    </row>
    <row r="49" customFormat="false" ht="12.75" hidden="false" customHeight="false" outlineLevel="0" collapsed="false">
      <c r="C49" s="201"/>
      <c r="D49" s="201"/>
      <c r="F49" s="357" t="n">
        <f aca="false">SUM(F40:F48)</f>
        <v>-2178789.41</v>
      </c>
      <c r="G49" s="201"/>
      <c r="K49" s="30" t="n">
        <f aca="false">SUM(K36:K48)</f>
        <v>-163243</v>
      </c>
    </row>
    <row r="50" customFormat="false" ht="12.75" hidden="false" customHeight="false" outlineLevel="0" collapsed="false">
      <c r="C50" s="201"/>
      <c r="D50" s="201"/>
      <c r="F50" s="201"/>
      <c r="G50" s="201"/>
    </row>
    <row r="51" customFormat="false" ht="12.75" hidden="false" customHeight="false" outlineLevel="0" collapsed="false">
      <c r="E51" s="19" t="s">
        <v>185</v>
      </c>
      <c r="F51" s="132" t="n">
        <f aca="false">+Duke!C56</f>
        <v>2426181.26</v>
      </c>
      <c r="M51" s="30" t="n">
        <f aca="false">+Duke!I56</f>
        <v>591366</v>
      </c>
    </row>
    <row r="53" customFormat="false" ht="12.75" hidden="false" customHeight="false" outlineLevel="0" collapsed="false">
      <c r="F53" s="103" t="n">
        <f aca="false">+F51+F49</f>
        <v>247391.85</v>
      </c>
      <c r="M53" s="63" t="n">
        <f aca="false">+M51+K49</f>
        <v>428123</v>
      </c>
    </row>
    <row r="59" customFormat="false" ht="12.75" hidden="false" customHeight="false" outlineLevel="0" collapsed="false">
      <c r="H59" s="155"/>
    </row>
    <row r="60" customFormat="false" ht="12.75" hidden="false" customHeight="false" outlineLevel="0" collapsed="false">
      <c r="H60" s="155"/>
    </row>
    <row r="61" customFormat="false" ht="12.75" hidden="false" customHeight="false" outlineLevel="0" collapsed="false">
      <c r="H61" s="155"/>
    </row>
    <row r="62" customFormat="false" ht="12.75" hidden="false" customHeight="false" outlineLevel="0" collapsed="false">
      <c r="H62" s="61"/>
    </row>
    <row r="63" customFormat="false" ht="12.75" hidden="false" customHeight="false" outlineLevel="0" collapsed="false">
      <c r="F63" s="61"/>
    </row>
    <row r="64" customFormat="false" ht="12.75" hidden="false" customHeight="false" outlineLevel="0" collapsed="false">
      <c r="F64" s="6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I35" activeCellId="3" sqref="C31 B24 I41 I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58"/>
    </row>
    <row r="2" customFormat="false" ht="12.75" hidden="false" customHeight="false" outlineLevel="0" collapsed="false">
      <c r="L2" s="358"/>
    </row>
    <row r="3" customFormat="false" ht="12.75" hidden="false" customHeight="false" outlineLevel="0" collapsed="false">
      <c r="L3" s="358"/>
    </row>
    <row r="4" customFormat="false" ht="12.75" hidden="false" customHeight="false" outlineLevel="0" collapsed="false">
      <c r="L4" s="358"/>
    </row>
    <row r="5" customFormat="false" ht="15" hidden="false" customHeight="false" outlineLevel="0" collapsed="false">
      <c r="A5" s="216"/>
      <c r="B5" s="5" t="s">
        <v>186</v>
      </c>
      <c r="G5" s="216"/>
      <c r="L5" s="358"/>
      <c r="M5" s="216"/>
      <c r="S5" s="216"/>
    </row>
    <row r="6" customFormat="false" ht="12.75" hidden="false" customHeight="false" outlineLevel="0" collapsed="false">
      <c r="A6" s="136"/>
      <c r="B6" s="98" t="n">
        <v>500174</v>
      </c>
      <c r="D6" s="98" t="n">
        <v>53888</v>
      </c>
      <c r="F6" s="98" t="n">
        <v>78060</v>
      </c>
      <c r="H6" s="98" t="n">
        <v>78062</v>
      </c>
      <c r="J6" s="98"/>
      <c r="L6" s="358"/>
      <c r="M6" s="136"/>
      <c r="N6" s="98"/>
      <c r="P6" s="98"/>
      <c r="S6" s="136"/>
      <c r="T6" s="98"/>
      <c r="V6" s="98"/>
    </row>
    <row r="7" customFormat="false" ht="12.75" hidden="false" customHeight="false" outlineLevel="0" collapsed="false">
      <c r="A7" s="75" t="s">
        <v>113</v>
      </c>
      <c r="B7" s="101" t="s">
        <v>114</v>
      </c>
      <c r="C7" s="101" t="s">
        <v>115</v>
      </c>
      <c r="D7" s="101" t="s">
        <v>114</v>
      </c>
      <c r="E7" s="101" t="s">
        <v>115</v>
      </c>
      <c r="F7" s="101" t="s">
        <v>114</v>
      </c>
      <c r="G7" s="101" t="s">
        <v>115</v>
      </c>
      <c r="H7" s="101" t="s">
        <v>114</v>
      </c>
      <c r="I7" s="101" t="s">
        <v>115</v>
      </c>
      <c r="K7" s="75"/>
      <c r="L7" s="101"/>
      <c r="M7" s="101"/>
      <c r="N7" s="101"/>
      <c r="O7" s="101"/>
      <c r="P7" s="101"/>
      <c r="Q7" s="101"/>
      <c r="S7" s="75"/>
      <c r="T7" s="101"/>
      <c r="U7" s="101"/>
      <c r="V7" s="101"/>
      <c r="W7" s="101"/>
    </row>
    <row r="8" customFormat="false" ht="12.75" hidden="false" customHeight="false" outlineLevel="0" collapsed="false">
      <c r="A8" s="107" t="n">
        <v>1</v>
      </c>
      <c r="B8" s="108" t="n">
        <v>7793</v>
      </c>
      <c r="C8" s="108" t="n">
        <v>6031</v>
      </c>
      <c r="D8" s="108"/>
      <c r="E8" s="108"/>
      <c r="F8" s="108" t="n">
        <v>1235</v>
      </c>
      <c r="G8" s="108" t="n">
        <v>1150</v>
      </c>
      <c r="H8" s="108" t="n">
        <v>1454</v>
      </c>
      <c r="I8" s="108" t="n">
        <v>1283</v>
      </c>
      <c r="J8" s="120" t="n">
        <f aca="false">+C8-B8+E8-D8+G8-F8+I8-H8</f>
        <v>-2018</v>
      </c>
      <c r="K8" s="107"/>
      <c r="L8" s="108"/>
      <c r="M8" s="108"/>
      <c r="N8" s="108"/>
      <c r="O8" s="108"/>
      <c r="P8" s="108"/>
      <c r="Q8" s="108"/>
      <c r="R8" s="120"/>
      <c r="S8" s="107"/>
      <c r="T8" s="108"/>
      <c r="U8" s="108"/>
      <c r="V8" s="108"/>
      <c r="W8" s="108"/>
      <c r="X8" s="120"/>
    </row>
    <row r="9" customFormat="false" ht="12.75" hidden="false" customHeight="false" outlineLevel="0" collapsed="false">
      <c r="A9" s="107" t="n">
        <v>2</v>
      </c>
      <c r="B9" s="108" t="n">
        <v>7791</v>
      </c>
      <c r="C9" s="108" t="n">
        <v>6031</v>
      </c>
      <c r="D9" s="108"/>
      <c r="E9" s="108"/>
      <c r="F9" s="108" t="n">
        <v>1177</v>
      </c>
      <c r="G9" s="108" t="n">
        <v>1150</v>
      </c>
      <c r="H9" s="108" t="n">
        <v>1476</v>
      </c>
      <c r="I9" s="108" t="n">
        <v>1283</v>
      </c>
      <c r="J9" s="120" t="n">
        <f aca="false">+C9-B9+E9-D9+G9-F9+I9-H9</f>
        <v>-1980</v>
      </c>
      <c r="K9" s="107"/>
      <c r="L9" s="108"/>
      <c r="M9" s="108"/>
      <c r="N9" s="108"/>
      <c r="O9" s="108"/>
      <c r="P9" s="108"/>
      <c r="Q9" s="108"/>
      <c r="R9" s="120"/>
      <c r="S9" s="107"/>
      <c r="T9" s="108"/>
      <c r="U9" s="108"/>
      <c r="V9" s="108"/>
      <c r="W9" s="108"/>
      <c r="X9" s="120"/>
    </row>
    <row r="10" customFormat="false" ht="12.75" hidden="false" customHeight="false" outlineLevel="0" collapsed="false">
      <c r="A10" s="107" t="n">
        <v>3</v>
      </c>
      <c r="B10" s="108" t="n">
        <v>5994</v>
      </c>
      <c r="C10" s="108" t="n">
        <v>6031</v>
      </c>
      <c r="D10" s="108"/>
      <c r="E10" s="108"/>
      <c r="F10" s="108" t="n">
        <v>1174</v>
      </c>
      <c r="G10" s="108" t="n">
        <v>1150</v>
      </c>
      <c r="H10" s="108" t="n">
        <v>1523</v>
      </c>
      <c r="I10" s="108" t="n">
        <v>1283</v>
      </c>
      <c r="J10" s="120" t="n">
        <f aca="false">+C10-B10+E10-D10+G10-F10+I10-H10</f>
        <v>-227</v>
      </c>
      <c r="K10" s="107"/>
      <c r="L10" s="108"/>
      <c r="M10" s="108"/>
      <c r="N10" s="108"/>
      <c r="O10" s="108"/>
      <c r="P10" s="108"/>
      <c r="Q10" s="108"/>
      <c r="R10" s="120"/>
      <c r="S10" s="107"/>
      <c r="T10" s="108"/>
      <c r="U10" s="108"/>
      <c r="V10" s="108"/>
      <c r="W10" s="108"/>
      <c r="X10" s="120"/>
    </row>
    <row r="11" customFormat="false" ht="12.75" hidden="false" customHeight="false" outlineLevel="0" collapsed="false">
      <c r="A11" s="107" t="n">
        <v>4</v>
      </c>
      <c r="B11" s="108" t="n">
        <v>7564</v>
      </c>
      <c r="C11" s="108" t="n">
        <v>6031</v>
      </c>
      <c r="D11" s="108"/>
      <c r="E11" s="108"/>
      <c r="F11" s="108" t="n">
        <v>1155</v>
      </c>
      <c r="G11" s="108" t="n">
        <v>1150</v>
      </c>
      <c r="H11" s="108" t="n">
        <v>1485</v>
      </c>
      <c r="I11" s="108" t="n">
        <v>1283</v>
      </c>
      <c r="J11" s="120" t="n">
        <f aca="false">+C11-B11+E11-D11+G11-F11+I11-H11</f>
        <v>-1740</v>
      </c>
      <c r="K11" s="107"/>
      <c r="L11" s="108"/>
      <c r="M11" s="108"/>
      <c r="N11" s="108"/>
      <c r="O11" s="108"/>
      <c r="P11" s="108"/>
      <c r="Q11" s="108"/>
      <c r="R11" s="120"/>
      <c r="S11" s="107"/>
      <c r="T11" s="108"/>
      <c r="U11" s="108"/>
      <c r="V11" s="108"/>
      <c r="W11" s="108"/>
      <c r="X11" s="120"/>
    </row>
    <row r="12" customFormat="false" ht="12.75" hidden="false" customHeight="false" outlineLevel="0" collapsed="false">
      <c r="A12" s="107" t="n">
        <v>5</v>
      </c>
      <c r="B12" s="108" t="n">
        <v>7266</v>
      </c>
      <c r="C12" s="108" t="n">
        <v>6031</v>
      </c>
      <c r="D12" s="108"/>
      <c r="E12" s="108"/>
      <c r="F12" s="108" t="n">
        <v>1111</v>
      </c>
      <c r="G12" s="108" t="n">
        <v>1150</v>
      </c>
      <c r="H12" s="108" t="n">
        <v>1460</v>
      </c>
      <c r="I12" s="108" t="n">
        <v>1283</v>
      </c>
      <c r="J12" s="120" t="n">
        <f aca="false">+C12-B12+E12-D12+G12-F12+I12-H12</f>
        <v>-1373</v>
      </c>
      <c r="K12" s="107"/>
      <c r="L12" s="108"/>
      <c r="M12" s="108"/>
      <c r="N12" s="108"/>
      <c r="O12" s="108"/>
      <c r="P12" s="108"/>
      <c r="Q12" s="108"/>
      <c r="R12" s="191"/>
      <c r="S12" s="146"/>
      <c r="T12" s="108"/>
      <c r="U12" s="108"/>
      <c r="V12" s="108"/>
      <c r="W12" s="108"/>
      <c r="X12" s="120"/>
    </row>
    <row r="13" customFormat="false" ht="12.75" hidden="false" customHeight="false" outlineLevel="0" collapsed="false">
      <c r="A13" s="107" t="n">
        <v>6</v>
      </c>
      <c r="B13" s="108" t="n">
        <v>7106</v>
      </c>
      <c r="C13" s="108" t="n">
        <v>6031</v>
      </c>
      <c r="D13" s="108"/>
      <c r="E13" s="108"/>
      <c r="F13" s="108" t="n">
        <v>1102</v>
      </c>
      <c r="G13" s="108" t="n">
        <v>1150</v>
      </c>
      <c r="H13" s="108" t="n">
        <v>1390</v>
      </c>
      <c r="I13" s="108" t="n">
        <v>1283</v>
      </c>
      <c r="J13" s="120" t="n">
        <f aca="false">+C13-B13+E13-D13+G13-F13+I13-H13</f>
        <v>-1134</v>
      </c>
      <c r="K13" s="107"/>
      <c r="L13" s="108"/>
      <c r="M13" s="108"/>
      <c r="N13" s="108"/>
      <c r="O13" s="108"/>
      <c r="P13" s="108"/>
      <c r="Q13" s="108"/>
      <c r="R13" s="191"/>
      <c r="S13" s="146"/>
      <c r="T13" s="108"/>
      <c r="U13" s="108"/>
      <c r="V13" s="108"/>
      <c r="W13" s="108"/>
      <c r="X13" s="120"/>
    </row>
    <row r="14" customFormat="false" ht="12.75" hidden="false" customHeight="false" outlineLevel="0" collapsed="false">
      <c r="A14" s="107" t="n">
        <v>7</v>
      </c>
      <c r="B14" s="108" t="n">
        <v>6926</v>
      </c>
      <c r="C14" s="108" t="n">
        <v>6031</v>
      </c>
      <c r="D14" s="108"/>
      <c r="E14" s="108"/>
      <c r="F14" s="108" t="n">
        <v>1149</v>
      </c>
      <c r="G14" s="108" t="n">
        <v>1150</v>
      </c>
      <c r="H14" s="108" t="n">
        <v>1444</v>
      </c>
      <c r="I14" s="108" t="n">
        <v>1283</v>
      </c>
      <c r="J14" s="120" t="n">
        <f aca="false">+C14-B14+E14-D14+G14-F14+I14-H14</f>
        <v>-1055</v>
      </c>
      <c r="K14" s="107"/>
      <c r="L14" s="108"/>
      <c r="M14" s="108"/>
      <c r="N14" s="108"/>
      <c r="O14" s="108"/>
      <c r="P14" s="108"/>
      <c r="Q14" s="108"/>
      <c r="R14" s="191"/>
      <c r="S14" s="359"/>
      <c r="T14" s="108"/>
      <c r="U14" s="108"/>
      <c r="V14" s="108"/>
      <c r="W14" s="108"/>
      <c r="X14" s="120"/>
    </row>
    <row r="15" customFormat="false" ht="12.75" hidden="false" customHeight="false" outlineLevel="0" collapsed="false">
      <c r="A15" s="107" t="n">
        <v>8</v>
      </c>
      <c r="B15" s="108" t="n">
        <v>6932</v>
      </c>
      <c r="C15" s="108" t="n">
        <v>6031</v>
      </c>
      <c r="D15" s="108"/>
      <c r="E15" s="108"/>
      <c r="F15" s="108" t="n">
        <v>1096</v>
      </c>
      <c r="G15" s="108" t="n">
        <v>1150</v>
      </c>
      <c r="H15" s="108" t="n">
        <v>1417</v>
      </c>
      <c r="I15" s="108" t="n">
        <v>1283</v>
      </c>
      <c r="J15" s="120" t="n">
        <f aca="false">+C15-B15+E15-D15+G15-F15+I15-H15</f>
        <v>-981</v>
      </c>
      <c r="K15" s="107"/>
      <c r="L15" s="108"/>
      <c r="M15" s="108"/>
      <c r="N15" s="108"/>
      <c r="O15" s="108"/>
      <c r="P15" s="108"/>
      <c r="Q15" s="108"/>
      <c r="R15" s="191"/>
      <c r="S15" s="359"/>
      <c r="T15" s="108"/>
      <c r="U15" s="108"/>
      <c r="V15" s="108"/>
      <c r="W15" s="108"/>
      <c r="X15" s="120"/>
    </row>
    <row r="16" customFormat="false" ht="12.75" hidden="false" customHeight="false" outlineLevel="0" collapsed="false">
      <c r="A16" s="107" t="n">
        <v>9</v>
      </c>
      <c r="B16" s="108" t="n">
        <v>6825</v>
      </c>
      <c r="C16" s="108" t="n">
        <v>6031</v>
      </c>
      <c r="D16" s="108"/>
      <c r="E16" s="108"/>
      <c r="F16" s="108" t="n">
        <v>1073</v>
      </c>
      <c r="G16" s="108" t="n">
        <v>1150</v>
      </c>
      <c r="H16" s="108" t="n">
        <v>1479</v>
      </c>
      <c r="I16" s="108" t="n">
        <v>1283</v>
      </c>
      <c r="J16" s="120" t="n">
        <f aca="false">+C16-B16+E16-D16+G16-F16+I16-H16</f>
        <v>-913</v>
      </c>
      <c r="K16" s="107"/>
      <c r="L16" s="108"/>
      <c r="M16" s="108"/>
      <c r="N16" s="108"/>
      <c r="O16" s="108"/>
      <c r="P16" s="108"/>
      <c r="Q16" s="108"/>
      <c r="R16" s="191"/>
      <c r="S16" s="359"/>
      <c r="T16" s="108"/>
      <c r="U16" s="108"/>
      <c r="V16" s="108"/>
      <c r="W16" s="108"/>
      <c r="X16" s="120"/>
    </row>
    <row r="17" customFormat="false" ht="12.75" hidden="false" customHeight="false" outlineLevel="0" collapsed="false">
      <c r="A17" s="107" t="n">
        <v>10</v>
      </c>
      <c r="B17" s="108" t="n">
        <v>7236</v>
      </c>
      <c r="C17" s="108" t="n">
        <v>6031</v>
      </c>
      <c r="D17" s="108"/>
      <c r="E17" s="108"/>
      <c r="F17" s="108" t="n">
        <v>1025</v>
      </c>
      <c r="G17" s="108" t="n">
        <v>1150</v>
      </c>
      <c r="H17" s="108" t="n">
        <v>1307</v>
      </c>
      <c r="I17" s="108" t="n">
        <v>1283</v>
      </c>
      <c r="J17" s="120" t="n">
        <f aca="false">+C17-B17+E17-D17+G17-F17+I17-H17</f>
        <v>-1104</v>
      </c>
      <c r="K17" s="107"/>
      <c r="L17" s="108"/>
      <c r="M17" s="108"/>
      <c r="N17" s="108"/>
      <c r="O17" s="108"/>
      <c r="P17" s="108"/>
      <c r="Q17" s="108"/>
      <c r="R17" s="191"/>
      <c r="S17" s="359"/>
      <c r="T17" s="108"/>
      <c r="U17" s="108"/>
      <c r="V17" s="108"/>
      <c r="W17" s="108"/>
      <c r="X17" s="120"/>
    </row>
    <row r="18" customFormat="false" ht="12.75" hidden="false" customHeight="false" outlineLevel="0" collapsed="false">
      <c r="A18" s="107" t="n">
        <v>11</v>
      </c>
      <c r="B18" s="108" t="n">
        <v>7145</v>
      </c>
      <c r="C18" s="108" t="n">
        <v>6031</v>
      </c>
      <c r="D18" s="108"/>
      <c r="E18" s="108"/>
      <c r="F18" s="108" t="n">
        <v>1044</v>
      </c>
      <c r="G18" s="108" t="n">
        <v>1150</v>
      </c>
      <c r="H18" s="108" t="n">
        <v>1444</v>
      </c>
      <c r="I18" s="108" t="n">
        <v>1283</v>
      </c>
      <c r="J18" s="120" t="n">
        <f aca="false">+C18-B18+E18-D18+G18-F18+I18-H18</f>
        <v>-1169</v>
      </c>
      <c r="K18" s="107"/>
      <c r="L18" s="108"/>
      <c r="M18" s="108"/>
      <c r="N18" s="108"/>
      <c r="O18" s="108"/>
      <c r="P18" s="108"/>
      <c r="Q18" s="108"/>
      <c r="R18" s="191"/>
      <c r="S18" s="146"/>
      <c r="T18" s="108"/>
      <c r="U18" s="108"/>
      <c r="V18" s="108"/>
      <c r="W18" s="108"/>
      <c r="X18" s="120"/>
    </row>
    <row r="19" customFormat="false" ht="12.75" hidden="false" customHeight="false" outlineLevel="0" collapsed="false">
      <c r="A19" s="107" t="n">
        <v>12</v>
      </c>
      <c r="B19" s="108" t="n">
        <v>7121</v>
      </c>
      <c r="C19" s="108" t="n">
        <v>6031</v>
      </c>
      <c r="D19" s="108"/>
      <c r="E19" s="108"/>
      <c r="F19" s="108" t="n">
        <v>1011</v>
      </c>
      <c r="G19" s="108" t="n">
        <v>1150</v>
      </c>
      <c r="H19" s="108" t="n">
        <v>1426</v>
      </c>
      <c r="I19" s="108" t="n">
        <v>1283</v>
      </c>
      <c r="J19" s="120" t="n">
        <f aca="false">+C19-B19+E19-D19+G19-F19+I19-H19</f>
        <v>-1094</v>
      </c>
      <c r="K19" s="107"/>
      <c r="L19" s="108"/>
      <c r="M19" s="108"/>
      <c r="N19" s="108"/>
      <c r="O19" s="108"/>
      <c r="P19" s="108"/>
      <c r="Q19" s="108"/>
      <c r="R19" s="191"/>
      <c r="S19" s="107"/>
      <c r="T19" s="108"/>
      <c r="U19" s="108"/>
      <c r="V19" s="108"/>
      <c r="W19" s="108"/>
      <c r="X19" s="120"/>
    </row>
    <row r="20" customFormat="false" ht="12.75" hidden="false" customHeight="false" outlineLevel="0" collapsed="false">
      <c r="A20" s="107" t="n">
        <v>13</v>
      </c>
      <c r="B20" s="108" t="n">
        <v>7497</v>
      </c>
      <c r="C20" s="108" t="n">
        <v>6031</v>
      </c>
      <c r="D20" s="108"/>
      <c r="E20" s="108"/>
      <c r="F20" s="108" t="n">
        <v>1008</v>
      </c>
      <c r="G20" s="108" t="n">
        <v>1150</v>
      </c>
      <c r="H20" s="108" t="n">
        <v>1419</v>
      </c>
      <c r="I20" s="108" t="n">
        <v>1283</v>
      </c>
      <c r="J20" s="120" t="n">
        <f aca="false">+C20-B20+E20-D20+G20-F20+I20-H20</f>
        <v>-1460</v>
      </c>
      <c r="K20" s="107"/>
      <c r="L20" s="108"/>
      <c r="M20" s="108"/>
      <c r="N20" s="108"/>
      <c r="O20" s="108"/>
      <c r="P20" s="108"/>
      <c r="Q20" s="108"/>
      <c r="R20" s="191"/>
      <c r="S20" s="107"/>
      <c r="T20" s="108"/>
      <c r="U20" s="108"/>
      <c r="V20" s="108"/>
      <c r="W20" s="108"/>
      <c r="X20" s="120"/>
    </row>
    <row r="21" customFormat="false" ht="12.75" hidden="false" customHeight="false" outlineLevel="0" collapsed="false">
      <c r="A21" s="107" t="n">
        <v>14</v>
      </c>
      <c r="B21" s="108" t="n">
        <v>5169</v>
      </c>
      <c r="C21" s="108" t="n">
        <v>6031</v>
      </c>
      <c r="D21" s="108"/>
      <c r="E21" s="108"/>
      <c r="F21" s="108" t="n">
        <v>956</v>
      </c>
      <c r="G21" s="108" t="n">
        <v>1150</v>
      </c>
      <c r="H21" s="108" t="n">
        <v>1409</v>
      </c>
      <c r="I21" s="108" t="n">
        <v>1283</v>
      </c>
      <c r="J21" s="120" t="n">
        <f aca="false">+C21-B21+E21-D21+G21-F21+I21-H21</f>
        <v>930</v>
      </c>
      <c r="K21" s="107"/>
      <c r="L21" s="108"/>
      <c r="M21" s="108"/>
      <c r="N21" s="108"/>
      <c r="O21" s="108"/>
      <c r="P21" s="108"/>
      <c r="Q21" s="108"/>
      <c r="R21" s="191"/>
      <c r="S21" s="107"/>
      <c r="T21" s="108"/>
      <c r="U21" s="108"/>
      <c r="V21" s="108"/>
      <c r="W21" s="108"/>
      <c r="X21" s="120"/>
    </row>
    <row r="22" customFormat="false" ht="12.75" hidden="false" customHeight="false" outlineLevel="0" collapsed="false">
      <c r="A22" s="107" t="n">
        <v>15</v>
      </c>
      <c r="B22" s="108" t="n">
        <v>7298</v>
      </c>
      <c r="C22" s="108" t="n">
        <v>6531</v>
      </c>
      <c r="D22" s="108"/>
      <c r="E22" s="108"/>
      <c r="F22" s="108" t="n">
        <v>1098</v>
      </c>
      <c r="G22" s="108" t="n">
        <v>1150</v>
      </c>
      <c r="H22" s="108" t="n">
        <v>1394</v>
      </c>
      <c r="I22" s="108" t="n">
        <v>1283</v>
      </c>
      <c r="J22" s="120" t="n">
        <f aca="false">+C22-B22+E22-D22+G22-F22+I22-H22</f>
        <v>-826</v>
      </c>
      <c r="K22" s="107"/>
      <c r="L22" s="108"/>
      <c r="M22" s="108"/>
      <c r="N22" s="108"/>
      <c r="O22" s="108"/>
      <c r="P22" s="108"/>
      <c r="Q22" s="108"/>
      <c r="R22" s="120"/>
      <c r="S22" s="107"/>
      <c r="T22" s="108"/>
      <c r="U22" s="108"/>
      <c r="V22" s="108"/>
      <c r="W22" s="108"/>
      <c r="X22" s="120"/>
    </row>
    <row r="23" customFormat="false" ht="12.75" hidden="false" customHeight="false" outlineLevel="0" collapsed="false">
      <c r="A23" s="107" t="n">
        <v>16</v>
      </c>
      <c r="B23" s="108" t="n">
        <v>4507</v>
      </c>
      <c r="C23" s="108" t="n">
        <v>6531</v>
      </c>
      <c r="D23" s="108"/>
      <c r="E23" s="108"/>
      <c r="F23" s="108" t="n">
        <v>1042</v>
      </c>
      <c r="G23" s="108" t="n">
        <v>1150</v>
      </c>
      <c r="H23" s="108" t="n">
        <v>1404</v>
      </c>
      <c r="I23" s="108" t="n">
        <v>1283</v>
      </c>
      <c r="J23" s="120" t="n">
        <f aca="false">+C23-B23+E23-D23+G23-F23+I23-H23</f>
        <v>2011</v>
      </c>
      <c r="K23" s="107"/>
      <c r="L23" s="108"/>
      <c r="M23" s="108"/>
      <c r="N23" s="108"/>
      <c r="O23" s="108"/>
      <c r="P23" s="108"/>
      <c r="Q23" s="108"/>
      <c r="R23" s="120"/>
      <c r="S23" s="107"/>
      <c r="T23" s="108"/>
      <c r="U23" s="108"/>
      <c r="V23" s="108"/>
      <c r="W23" s="108"/>
      <c r="X23" s="120"/>
    </row>
    <row r="24" customFormat="false" ht="12.75" hidden="false" customHeight="false" outlineLevel="0" collapsed="false">
      <c r="A24" s="107" t="n">
        <v>17</v>
      </c>
      <c r="B24" s="108" t="n">
        <v>5627</v>
      </c>
      <c r="C24" s="108" t="n">
        <v>6513</v>
      </c>
      <c r="D24" s="108"/>
      <c r="E24" s="108"/>
      <c r="F24" s="108" t="n">
        <v>1034</v>
      </c>
      <c r="G24" s="108" t="n">
        <v>1150</v>
      </c>
      <c r="H24" s="108" t="n">
        <v>1409</v>
      </c>
      <c r="I24" s="108" t="n">
        <v>1283</v>
      </c>
      <c r="J24" s="120" t="n">
        <f aca="false">+C24-B24+E24-D24+G24-F24+I24-H24</f>
        <v>876</v>
      </c>
      <c r="K24" s="107"/>
      <c r="L24" s="108"/>
      <c r="M24" s="108"/>
      <c r="N24" s="108"/>
      <c r="O24" s="108"/>
      <c r="P24" s="108"/>
      <c r="Q24" s="108"/>
      <c r="R24" s="120"/>
      <c r="S24" s="107"/>
      <c r="T24" s="108"/>
      <c r="U24" s="108"/>
      <c r="V24" s="108"/>
      <c r="W24" s="108"/>
      <c r="X24" s="120"/>
    </row>
    <row r="25" customFormat="false" ht="12.75" hidden="false" customHeight="false" outlineLevel="0" collapsed="false">
      <c r="A25" s="107" t="n">
        <v>18</v>
      </c>
      <c r="B25" s="108" t="n">
        <v>6389</v>
      </c>
      <c r="C25" s="108" t="n">
        <v>6531</v>
      </c>
      <c r="D25" s="108"/>
      <c r="E25" s="108"/>
      <c r="F25" s="108" t="n">
        <v>1004</v>
      </c>
      <c r="G25" s="108" t="n">
        <v>1150</v>
      </c>
      <c r="H25" s="108" t="n">
        <v>1399</v>
      </c>
      <c r="I25" s="108" t="n">
        <v>1283</v>
      </c>
      <c r="J25" s="120" t="n">
        <f aca="false">+C25-B25+E25-D25+G25-F25+I25-H25</f>
        <v>172</v>
      </c>
      <c r="K25" s="107"/>
      <c r="L25" s="108"/>
      <c r="M25" s="108"/>
      <c r="N25" s="108"/>
      <c r="O25" s="108"/>
      <c r="P25" s="108"/>
      <c r="Q25" s="108"/>
      <c r="R25" s="120"/>
      <c r="S25" s="107"/>
      <c r="T25" s="108"/>
      <c r="U25" s="108"/>
      <c r="V25" s="108"/>
      <c r="W25" s="108"/>
      <c r="X25" s="120"/>
    </row>
    <row r="26" customFormat="false" ht="12.75" hidden="false" customHeight="false" outlineLevel="0" collapsed="false">
      <c r="A26" s="107" t="n">
        <v>19</v>
      </c>
      <c r="B26" s="108" t="n">
        <v>6016</v>
      </c>
      <c r="C26" s="108" t="n">
        <v>6531</v>
      </c>
      <c r="D26" s="108"/>
      <c r="E26" s="108"/>
      <c r="F26" s="108" t="n">
        <v>877</v>
      </c>
      <c r="G26" s="108" t="n">
        <v>1150</v>
      </c>
      <c r="H26" s="108" t="n">
        <v>1388</v>
      </c>
      <c r="I26" s="108" t="n">
        <v>1283</v>
      </c>
      <c r="J26" s="120" t="n">
        <f aca="false">+C26-B26+E26-D26+G26-F26+I26-H26</f>
        <v>683</v>
      </c>
      <c r="K26" s="107"/>
      <c r="L26" s="108"/>
      <c r="M26" s="108"/>
      <c r="N26" s="108"/>
      <c r="O26" s="108"/>
      <c r="P26" s="108"/>
      <c r="Q26" s="108"/>
      <c r="R26" s="120"/>
      <c r="S26" s="107"/>
      <c r="T26" s="108"/>
      <c r="U26" s="108"/>
      <c r="V26" s="108"/>
      <c r="W26" s="108"/>
      <c r="X26" s="120"/>
    </row>
    <row r="27" customFormat="false" ht="12.75" hidden="false" customHeight="false" outlineLevel="0" collapsed="false">
      <c r="A27" s="107" t="n">
        <v>20</v>
      </c>
      <c r="B27" s="108" t="n">
        <v>7602</v>
      </c>
      <c r="C27" s="108" t="n">
        <v>6531</v>
      </c>
      <c r="D27" s="108"/>
      <c r="E27" s="108"/>
      <c r="F27" s="108" t="n">
        <v>1064</v>
      </c>
      <c r="G27" s="108" t="n">
        <v>1150</v>
      </c>
      <c r="H27" s="108" t="n">
        <v>1365</v>
      </c>
      <c r="I27" s="108" t="n">
        <v>1283</v>
      </c>
      <c r="J27" s="120" t="n">
        <f aca="false">+C27-B27+E27-D27+G27-F27+I27-H27</f>
        <v>-1067</v>
      </c>
      <c r="K27" s="107"/>
      <c r="L27" s="108"/>
      <c r="M27" s="108"/>
      <c r="N27" s="108"/>
      <c r="O27" s="108"/>
      <c r="P27" s="108"/>
      <c r="Q27" s="108"/>
      <c r="R27" s="120"/>
      <c r="S27" s="107"/>
      <c r="T27" s="108"/>
      <c r="U27" s="108"/>
      <c r="V27" s="108"/>
      <c r="W27" s="108"/>
      <c r="X27" s="120"/>
    </row>
    <row r="28" customFormat="false" ht="12.75" hidden="false" customHeight="false" outlineLevel="0" collapsed="false">
      <c r="A28" s="107" t="n">
        <v>21</v>
      </c>
      <c r="B28" s="108" t="n">
        <v>7180</v>
      </c>
      <c r="C28" s="108" t="n">
        <v>6531</v>
      </c>
      <c r="D28" s="108"/>
      <c r="E28" s="108"/>
      <c r="F28" s="108" t="n">
        <v>965</v>
      </c>
      <c r="G28" s="108" t="n">
        <v>1150</v>
      </c>
      <c r="H28" s="108" t="n">
        <v>1220</v>
      </c>
      <c r="I28" s="108" t="n">
        <v>1283</v>
      </c>
      <c r="J28" s="120" t="n">
        <f aca="false">+C28-B28+E28-D28+G28-F28+I28-H28</f>
        <v>-401</v>
      </c>
      <c r="K28" s="107"/>
      <c r="L28" s="108"/>
      <c r="M28" s="108"/>
      <c r="N28" s="108"/>
      <c r="O28" s="108"/>
      <c r="P28" s="108"/>
      <c r="Q28" s="108"/>
      <c r="R28" s="120"/>
      <c r="S28" s="107"/>
      <c r="T28" s="108"/>
      <c r="U28" s="108"/>
      <c r="V28" s="108"/>
      <c r="W28" s="108"/>
      <c r="X28" s="120"/>
    </row>
    <row r="29" customFormat="false" ht="12.75" hidden="false" customHeight="false" outlineLevel="0" collapsed="false">
      <c r="A29" s="107" t="n">
        <v>22</v>
      </c>
      <c r="B29" s="108" t="n">
        <v>6993</v>
      </c>
      <c r="C29" s="108" t="n">
        <v>6531</v>
      </c>
      <c r="D29" s="108"/>
      <c r="E29" s="108"/>
      <c r="F29" s="108" t="n">
        <v>1003</v>
      </c>
      <c r="G29" s="108" t="n">
        <v>1150</v>
      </c>
      <c r="H29" s="108" t="n">
        <v>1451</v>
      </c>
      <c r="I29" s="108" t="n">
        <v>1283</v>
      </c>
      <c r="J29" s="120" t="n">
        <f aca="false">+C29-B29+E29-D29+G29-F29+I29-H29</f>
        <v>-483</v>
      </c>
      <c r="K29" s="107"/>
      <c r="L29" s="108"/>
      <c r="M29" s="108"/>
      <c r="N29" s="108"/>
      <c r="O29" s="108"/>
      <c r="P29" s="108"/>
      <c r="Q29" s="108"/>
      <c r="R29" s="120"/>
      <c r="S29" s="107"/>
      <c r="T29" s="108"/>
      <c r="U29" s="108"/>
      <c r="V29" s="108"/>
      <c r="W29" s="108"/>
      <c r="X29" s="120"/>
    </row>
    <row r="30" customFormat="false" ht="12.75" hidden="false" customHeight="false" outlineLevel="0" collapsed="false">
      <c r="A30" s="107" t="n">
        <v>23</v>
      </c>
      <c r="B30" s="108" t="n">
        <v>7013</v>
      </c>
      <c r="C30" s="108" t="n">
        <v>6531</v>
      </c>
      <c r="D30" s="108"/>
      <c r="E30" s="108"/>
      <c r="F30" s="108" t="n">
        <v>810</v>
      </c>
      <c r="G30" s="108" t="n">
        <v>1150</v>
      </c>
      <c r="H30" s="108" t="n">
        <v>1390</v>
      </c>
      <c r="I30" s="108" t="n">
        <v>1283</v>
      </c>
      <c r="J30" s="120" t="n">
        <f aca="false">+C30-B30+E30-D30+G30-F30+I30-H30</f>
        <v>-249</v>
      </c>
      <c r="K30" s="107"/>
      <c r="L30" s="108"/>
      <c r="M30" s="108"/>
      <c r="N30" s="108"/>
      <c r="O30" s="108"/>
      <c r="P30" s="108"/>
      <c r="Q30" s="108"/>
      <c r="R30" s="120"/>
      <c r="S30" s="107"/>
      <c r="T30" s="108"/>
      <c r="U30" s="108"/>
      <c r="V30" s="108"/>
      <c r="W30" s="108"/>
      <c r="X30" s="120"/>
    </row>
    <row r="31" customFormat="false" ht="12.75" hidden="false" customHeight="false" outlineLevel="0" collapsed="false">
      <c r="A31" s="107" t="n">
        <v>24</v>
      </c>
      <c r="B31" s="108" t="n">
        <v>7149</v>
      </c>
      <c r="C31" s="108" t="n">
        <v>6531</v>
      </c>
      <c r="D31" s="108"/>
      <c r="E31" s="108"/>
      <c r="F31" s="108" t="n">
        <v>912</v>
      </c>
      <c r="G31" s="108" t="n">
        <v>1150</v>
      </c>
      <c r="H31" s="108" t="n">
        <v>1365</v>
      </c>
      <c r="I31" s="108" t="n">
        <v>1283</v>
      </c>
      <c r="J31" s="120" t="n">
        <f aca="false">+C31-B31+E31-D31+G31-F31+I31-H31</f>
        <v>-462</v>
      </c>
      <c r="K31" s="107"/>
      <c r="L31" s="108" t="n">
        <v>377</v>
      </c>
      <c r="M31" s="108"/>
      <c r="N31" s="108"/>
      <c r="O31" s="108"/>
      <c r="P31" s="108"/>
      <c r="Q31" s="108"/>
      <c r="R31" s="120"/>
      <c r="S31" s="107"/>
      <c r="T31" s="108"/>
      <c r="U31" s="108"/>
      <c r="V31" s="108"/>
      <c r="W31" s="108"/>
      <c r="X31" s="120"/>
    </row>
    <row r="32" customFormat="false" ht="12.75" hidden="false" customHeight="false" outlineLevel="0" collapsed="false">
      <c r="A32" s="107" t="n">
        <v>25</v>
      </c>
      <c r="B32" s="108" t="n">
        <v>6994</v>
      </c>
      <c r="C32" s="108" t="n">
        <v>6531</v>
      </c>
      <c r="D32" s="108"/>
      <c r="E32" s="108"/>
      <c r="F32" s="108" t="n">
        <v>930</v>
      </c>
      <c r="G32" s="108" t="n">
        <v>1150</v>
      </c>
      <c r="H32" s="108" t="n">
        <v>1337</v>
      </c>
      <c r="I32" s="108" t="n">
        <v>1283</v>
      </c>
      <c r="J32" s="120" t="n">
        <f aca="false">+C32-B32+E32-D32+G32-F32+I32-H32</f>
        <v>-297</v>
      </c>
      <c r="K32" s="107"/>
      <c r="L32" s="108" t="n">
        <v>725</v>
      </c>
      <c r="M32" s="108"/>
      <c r="N32" s="108"/>
      <c r="O32" s="108"/>
      <c r="P32" s="108"/>
      <c r="Q32" s="108"/>
      <c r="R32" s="120"/>
      <c r="S32" s="107"/>
      <c r="T32" s="108"/>
      <c r="U32" s="108"/>
      <c r="V32" s="108"/>
      <c r="W32" s="108"/>
      <c r="X32" s="120"/>
    </row>
    <row r="33" customFormat="false" ht="12.75" hidden="false" customHeight="false" outlineLevel="0" collapsed="false">
      <c r="A33" s="107" t="n">
        <v>26</v>
      </c>
      <c r="B33" s="108" t="n">
        <v>6890</v>
      </c>
      <c r="C33" s="108" t="n">
        <v>6531</v>
      </c>
      <c r="D33" s="108"/>
      <c r="E33" s="108"/>
      <c r="F33" s="108" t="n">
        <v>1026</v>
      </c>
      <c r="G33" s="108" t="n">
        <v>1150</v>
      </c>
      <c r="H33" s="108" t="n">
        <v>1320</v>
      </c>
      <c r="I33" s="108" t="n">
        <v>1283</v>
      </c>
      <c r="J33" s="120" t="n">
        <f aca="false">+C33-B33+E33-D33+G33-F33+I33-H33</f>
        <v>-272</v>
      </c>
      <c r="K33" s="107"/>
      <c r="L33" s="108" t="n">
        <f aca="false">SUM(L31:L32)</f>
        <v>1102</v>
      </c>
      <c r="M33" s="108"/>
      <c r="N33" s="108"/>
      <c r="O33" s="108"/>
      <c r="P33" s="108"/>
      <c r="Q33" s="108"/>
      <c r="R33" s="120"/>
      <c r="S33" s="107"/>
      <c r="T33" s="108"/>
      <c r="U33" s="108"/>
      <c r="V33" s="108"/>
      <c r="W33" s="108"/>
      <c r="X33" s="120"/>
    </row>
    <row r="34" customFormat="false" ht="12.75" hidden="false" customHeight="false" outlineLevel="0" collapsed="false">
      <c r="A34" s="107" t="n">
        <v>27</v>
      </c>
      <c r="B34" s="108" t="n">
        <v>6701</v>
      </c>
      <c r="C34" s="108" t="n">
        <v>6531</v>
      </c>
      <c r="D34" s="108"/>
      <c r="E34" s="108"/>
      <c r="F34" s="108" t="n">
        <v>411</v>
      </c>
      <c r="G34" s="108" t="n">
        <v>1150</v>
      </c>
      <c r="H34" s="108" t="n">
        <v>1170</v>
      </c>
      <c r="I34" s="108" t="n">
        <v>1283</v>
      </c>
      <c r="J34" s="120" t="n">
        <f aca="false">+C34-B34+E34-D34+G34-F34+I34-H34</f>
        <v>682</v>
      </c>
      <c r="K34" s="107"/>
      <c r="L34" s="108"/>
      <c r="M34" s="108"/>
      <c r="N34" s="108"/>
      <c r="O34" s="108"/>
      <c r="P34" s="108"/>
      <c r="Q34" s="108"/>
      <c r="R34" s="120"/>
      <c r="S34" s="107"/>
      <c r="T34" s="108"/>
      <c r="U34" s="108"/>
      <c r="V34" s="108"/>
      <c r="W34" s="108"/>
      <c r="X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08"/>
      <c r="G35" s="108"/>
      <c r="H35" s="108"/>
      <c r="I35" s="108"/>
      <c r="J35" s="120" t="n">
        <f aca="false">+C35-B35+E35-D35+G35-F35+I35-H35</f>
        <v>0</v>
      </c>
      <c r="K35" s="107"/>
      <c r="L35" s="108"/>
      <c r="M35" s="108"/>
      <c r="N35" s="108"/>
      <c r="O35" s="108"/>
      <c r="P35" s="108"/>
      <c r="Q35" s="108"/>
      <c r="R35" s="120"/>
      <c r="S35" s="107"/>
      <c r="T35" s="108"/>
      <c r="U35" s="108"/>
      <c r="V35" s="108"/>
      <c r="W35" s="108"/>
      <c r="X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08"/>
      <c r="G36" s="108"/>
      <c r="H36" s="108"/>
      <c r="I36" s="108"/>
      <c r="J36" s="120" t="n">
        <f aca="false">+C36-B36+E36-D36+G36-F36+I36-H36</f>
        <v>0</v>
      </c>
      <c r="K36" s="107"/>
      <c r="L36" s="108"/>
      <c r="M36" s="108"/>
      <c r="N36" s="108"/>
      <c r="O36" s="108"/>
      <c r="P36" s="108"/>
      <c r="Q36" s="108"/>
      <c r="R36" s="120"/>
      <c r="S36" s="107"/>
      <c r="T36" s="108"/>
      <c r="U36" s="108"/>
      <c r="V36" s="108"/>
      <c r="W36" s="108"/>
      <c r="X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08"/>
      <c r="G37" s="108"/>
      <c r="H37" s="108"/>
      <c r="I37" s="108"/>
      <c r="J37" s="120" t="n">
        <f aca="false">+C37-B37+E37-D37+G37-F37+I37-H37</f>
        <v>0</v>
      </c>
      <c r="K37" s="107"/>
      <c r="L37" s="108"/>
      <c r="M37" s="108"/>
      <c r="N37" s="108"/>
      <c r="Q37" s="108"/>
      <c r="R37" s="120"/>
      <c r="S37" s="107"/>
      <c r="T37" s="108"/>
      <c r="U37" s="108"/>
      <c r="V37" s="108"/>
      <c r="W37" s="108"/>
      <c r="X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08"/>
      <c r="G38" s="108"/>
      <c r="H38" s="108"/>
      <c r="I38" s="108"/>
      <c r="J38" s="120" t="n">
        <f aca="false">+C38-B38+E38-D38+G38-F38+I38-H38</f>
        <v>0</v>
      </c>
      <c r="K38" s="107"/>
      <c r="L38" s="108"/>
      <c r="M38" s="108"/>
      <c r="N38" s="108"/>
      <c r="Q38" s="108"/>
      <c r="R38" s="120"/>
      <c r="S38" s="107"/>
      <c r="T38" s="108"/>
      <c r="U38" s="108"/>
      <c r="V38" s="108"/>
      <c r="W38" s="108"/>
      <c r="X38" s="120"/>
    </row>
    <row r="39" customFormat="false" ht="12.75" hidden="false" customHeight="false" outlineLevel="0" collapsed="false">
      <c r="A39" s="107"/>
      <c r="B39" s="108" t="n">
        <f aca="false">SUM(B8:B38)</f>
        <v>184724</v>
      </c>
      <c r="C39" s="108" t="n">
        <f aca="false">SUM(C8:C38)</f>
        <v>169319</v>
      </c>
      <c r="D39" s="108" t="n">
        <f aca="false">SUM(D8:D38)</f>
        <v>0</v>
      </c>
      <c r="E39" s="108" t="n">
        <f aca="false">SUM(E8:E38)</f>
        <v>0</v>
      </c>
      <c r="F39" s="108" t="n">
        <f aca="false">SUM(F8:F38)</f>
        <v>27492</v>
      </c>
      <c r="G39" s="108" t="n">
        <f aca="false">SUM(G8:G38)</f>
        <v>31050</v>
      </c>
      <c r="H39" s="108" t="n">
        <f aca="false">SUM(H8:H38)</f>
        <v>37745</v>
      </c>
      <c r="I39" s="108" t="n">
        <f aca="false">SUM(I8:I38)</f>
        <v>34641</v>
      </c>
      <c r="J39" s="120" t="n">
        <f aca="false">SUM(J8:J38)</f>
        <v>-14951</v>
      </c>
      <c r="K39" s="107"/>
      <c r="L39" s="108"/>
      <c r="M39" s="108"/>
      <c r="N39" s="108"/>
      <c r="Q39" s="108"/>
      <c r="R39" s="120"/>
      <c r="S39" s="107"/>
      <c r="T39" s="108"/>
      <c r="U39" s="108"/>
      <c r="V39" s="108"/>
      <c r="W39" s="108"/>
      <c r="X39" s="120"/>
    </row>
    <row r="40" customFormat="false" ht="12.75" hidden="false" customHeight="false" outlineLevel="0" collapsed="false">
      <c r="A40" s="134"/>
      <c r="C40" s="30"/>
      <c r="J40" s="360" t="n">
        <f aca="false">+summary!H4</f>
        <v>2.81</v>
      </c>
      <c r="K40" s="134"/>
      <c r="L40" s="0"/>
      <c r="M40" s="30"/>
      <c r="R40" s="184"/>
      <c r="S40" s="134"/>
      <c r="U40" s="30"/>
      <c r="X40" s="184"/>
    </row>
    <row r="41" customFormat="false" ht="12.75" hidden="false" customHeight="false" outlineLevel="0" collapsed="false">
      <c r="J41" s="132" t="n">
        <f aca="false">+J40*J39</f>
        <v>-42012.31</v>
      </c>
      <c r="L41" s="0"/>
      <c r="R41" s="132"/>
      <c r="X41" s="132"/>
    </row>
    <row r="42" customFormat="false" ht="12.75" hidden="false" customHeight="false" outlineLevel="0" collapsed="false">
      <c r="A42" s="152" t="n">
        <v>37103</v>
      </c>
      <c r="C42" s="79"/>
      <c r="J42" s="183" t="n">
        <v>372841.88</v>
      </c>
      <c r="K42" s="152"/>
      <c r="L42" s="0"/>
      <c r="M42" s="79"/>
      <c r="O42" s="79"/>
      <c r="R42" s="132"/>
      <c r="S42" s="152"/>
      <c r="U42" s="79"/>
      <c r="X42" s="132"/>
    </row>
    <row r="43" customFormat="false" ht="12.75" hidden="false" customHeight="false" outlineLevel="0" collapsed="false">
      <c r="A43" s="152" t="n">
        <v>37130</v>
      </c>
      <c r="C43" s="151"/>
      <c r="J43" s="132" t="n">
        <f aca="false">+J42+J41</f>
        <v>330829.57</v>
      </c>
      <c r="K43" s="152"/>
      <c r="L43" s="0"/>
      <c r="M43" s="151"/>
      <c r="O43" s="151"/>
      <c r="R43" s="132"/>
      <c r="S43" s="152"/>
      <c r="U43" s="151"/>
      <c r="X43" s="13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125</v>
      </c>
      <c r="B46" s="9"/>
      <c r="C46" s="9"/>
      <c r="D46" s="9"/>
      <c r="L46" s="0"/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301" t="n">
        <v>146405</v>
      </c>
      <c r="L47" s="0"/>
    </row>
    <row r="48" customFormat="false" ht="12.75" hidden="false" customHeight="false" outlineLevel="0" collapsed="false">
      <c r="A48" s="124" t="n">
        <f aca="false">+A43</f>
        <v>37130</v>
      </c>
      <c r="B48" s="9"/>
      <c r="C48" s="9"/>
      <c r="D48" s="37" t="n">
        <f aca="false">+J39</f>
        <v>-14951</v>
      </c>
      <c r="L48" s="0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131454</v>
      </c>
      <c r="L49" s="0"/>
    </row>
    <row r="50" customFormat="false" ht="12.75" hidden="false" customHeight="false" outlineLevel="0" collapsed="false">
      <c r="A50" s="127"/>
      <c r="B50" s="128"/>
      <c r="C50" s="129"/>
      <c r="D50" s="129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35" activeCellId="3" sqref="C35 C38 D43 D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16"/>
      <c r="G5" s="216"/>
      <c r="K5" s="216"/>
      <c r="O5" s="216"/>
      <c r="S5" s="216"/>
      <c r="W5" s="216"/>
    </row>
    <row r="6" customFormat="false" ht="12.75" hidden="false" customHeight="false" outlineLevel="0" collapsed="false">
      <c r="A6" s="136"/>
      <c r="B6" s="98" t="s">
        <v>187</v>
      </c>
      <c r="D6" s="98" t="s">
        <v>188</v>
      </c>
      <c r="G6" s="136"/>
      <c r="H6" s="98"/>
      <c r="K6" s="136"/>
      <c r="L6" s="98"/>
      <c r="O6" s="136"/>
      <c r="P6" s="98"/>
      <c r="S6" s="136"/>
      <c r="T6" s="98"/>
      <c r="W6" s="136"/>
      <c r="X6" s="98"/>
    </row>
    <row r="7" customFormat="false" ht="12.75" hidden="false" customHeight="false" outlineLevel="0" collapsed="false">
      <c r="A7" s="75" t="s">
        <v>113</v>
      </c>
      <c r="B7" s="101" t="s">
        <v>114</v>
      </c>
      <c r="C7" s="101" t="s">
        <v>115</v>
      </c>
      <c r="D7" s="101" t="s">
        <v>114</v>
      </c>
      <c r="E7" s="101" t="s">
        <v>115</v>
      </c>
      <c r="F7" s="101" t="s">
        <v>133</v>
      </c>
      <c r="G7" s="75"/>
      <c r="H7" s="101"/>
      <c r="I7" s="101"/>
      <c r="J7" s="101"/>
      <c r="K7" s="75"/>
      <c r="L7" s="101"/>
      <c r="M7" s="101"/>
      <c r="N7" s="101"/>
      <c r="O7" s="75"/>
      <c r="P7" s="101"/>
      <c r="Q7" s="101"/>
      <c r="R7" s="101"/>
      <c r="S7" s="75"/>
      <c r="T7" s="101"/>
      <c r="U7" s="101"/>
      <c r="V7" s="101"/>
      <c r="W7" s="75"/>
      <c r="X7" s="101"/>
      <c r="Y7" s="101"/>
      <c r="Z7" s="101"/>
    </row>
    <row r="8" customFormat="false" ht="12.75" hidden="false" customHeight="false" outlineLevel="0" collapsed="false">
      <c r="A8" s="107" t="n">
        <v>1</v>
      </c>
      <c r="B8" s="108" t="n">
        <v>12222</v>
      </c>
      <c r="C8" s="108" t="n">
        <v>11345</v>
      </c>
      <c r="D8" s="108"/>
      <c r="E8" s="108"/>
      <c r="F8" s="120" t="n">
        <f aca="false">+C8-B8+E8-D8</f>
        <v>-877</v>
      </c>
      <c r="G8" s="107"/>
      <c r="H8" s="108"/>
      <c r="I8" s="108"/>
      <c r="J8" s="120"/>
      <c r="K8" s="107"/>
      <c r="L8" s="108"/>
      <c r="M8" s="108"/>
      <c r="N8" s="120"/>
      <c r="O8" s="107"/>
      <c r="P8" s="108"/>
      <c r="Q8" s="108"/>
      <c r="R8" s="120"/>
      <c r="S8" s="107"/>
      <c r="T8" s="108"/>
      <c r="U8" s="108"/>
      <c r="V8" s="120"/>
      <c r="W8" s="107"/>
      <c r="X8" s="108"/>
      <c r="Y8" s="108"/>
      <c r="Z8" s="120"/>
    </row>
    <row r="9" customFormat="false" ht="12.75" hidden="false" customHeight="false" outlineLevel="0" collapsed="false">
      <c r="A9" s="107" t="n">
        <v>2</v>
      </c>
      <c r="B9" s="108" t="n">
        <v>12888</v>
      </c>
      <c r="C9" s="108" t="n">
        <v>11487</v>
      </c>
      <c r="D9" s="108"/>
      <c r="E9" s="108"/>
      <c r="F9" s="120" t="n">
        <f aca="false">+C9-B9+E9-D9</f>
        <v>-1401</v>
      </c>
      <c r="G9" s="107"/>
      <c r="H9" s="108"/>
      <c r="I9" s="108"/>
      <c r="J9" s="120"/>
      <c r="K9" s="107"/>
      <c r="L9" s="108"/>
      <c r="M9" s="108"/>
      <c r="N9" s="120"/>
      <c r="O9" s="107"/>
      <c r="P9" s="108"/>
      <c r="Q9" s="108"/>
      <c r="R9" s="120"/>
      <c r="S9" s="107"/>
      <c r="T9" s="108"/>
      <c r="U9" s="108"/>
      <c r="V9" s="120"/>
      <c r="W9" s="107"/>
      <c r="X9" s="108"/>
      <c r="Y9" s="108"/>
      <c r="Z9" s="120"/>
    </row>
    <row r="10" customFormat="false" ht="12.75" hidden="false" customHeight="false" outlineLevel="0" collapsed="false">
      <c r="A10" s="107" t="n">
        <v>3</v>
      </c>
      <c r="B10" s="108" t="n">
        <v>11891</v>
      </c>
      <c r="C10" s="108" t="n">
        <v>11488</v>
      </c>
      <c r="D10" s="108"/>
      <c r="E10" s="108"/>
      <c r="F10" s="120" t="n">
        <f aca="false">+C10-B10+E10-D10</f>
        <v>-403</v>
      </c>
      <c r="G10" s="107"/>
      <c r="H10" s="108"/>
      <c r="I10" s="108"/>
      <c r="J10" s="120"/>
      <c r="K10" s="107"/>
      <c r="L10" s="108"/>
      <c r="M10" s="108"/>
      <c r="N10" s="120"/>
      <c r="O10" s="107"/>
      <c r="P10" s="108"/>
      <c r="Q10" s="108"/>
      <c r="R10" s="120"/>
      <c r="S10" s="107"/>
      <c r="T10" s="108"/>
      <c r="U10" s="108"/>
      <c r="V10" s="120"/>
      <c r="W10" s="107"/>
      <c r="X10" s="108"/>
      <c r="Y10" s="108"/>
      <c r="Z10" s="120"/>
    </row>
    <row r="11" customFormat="false" ht="12.75" hidden="false" customHeight="false" outlineLevel="0" collapsed="false">
      <c r="A11" s="107" t="n">
        <v>4</v>
      </c>
      <c r="B11" s="108" t="n">
        <v>11899</v>
      </c>
      <c r="C11" s="108" t="n">
        <v>11090</v>
      </c>
      <c r="D11" s="108"/>
      <c r="E11" s="108"/>
      <c r="F11" s="120" t="n">
        <f aca="false">+C11-B11+E11-D11</f>
        <v>-809</v>
      </c>
      <c r="G11" s="107"/>
      <c r="H11" s="108"/>
      <c r="I11" s="108"/>
      <c r="J11" s="120"/>
      <c r="K11" s="107"/>
      <c r="L11" s="108"/>
      <c r="M11" s="108"/>
      <c r="N11" s="120"/>
      <c r="O11" s="107"/>
      <c r="P11" s="108"/>
      <c r="Q11" s="108"/>
      <c r="R11" s="120"/>
      <c r="S11" s="107"/>
      <c r="T11" s="108"/>
      <c r="U11" s="108"/>
      <c r="V11" s="120"/>
      <c r="W11" s="107"/>
      <c r="X11" s="108"/>
      <c r="Y11" s="108"/>
      <c r="Z11" s="120"/>
    </row>
    <row r="12" customFormat="false" ht="12.75" hidden="false" customHeight="false" outlineLevel="0" collapsed="false">
      <c r="A12" s="107" t="n">
        <v>5</v>
      </c>
      <c r="B12" s="108" t="n">
        <v>11842</v>
      </c>
      <c r="C12" s="108" t="n">
        <v>11492</v>
      </c>
      <c r="D12" s="108"/>
      <c r="E12" s="108"/>
      <c r="F12" s="120" t="n">
        <f aca="false">+C12-B12+E12-D12</f>
        <v>-350</v>
      </c>
      <c r="G12" s="107"/>
      <c r="H12" s="108"/>
      <c r="I12" s="108"/>
      <c r="J12" s="120"/>
      <c r="K12" s="107"/>
      <c r="L12" s="108"/>
      <c r="M12" s="108"/>
      <c r="N12" s="120"/>
      <c r="O12" s="107"/>
      <c r="P12" s="108"/>
      <c r="Q12" s="108"/>
      <c r="R12" s="120"/>
      <c r="S12" s="107"/>
      <c r="T12" s="108"/>
      <c r="U12" s="108"/>
      <c r="V12" s="120"/>
      <c r="W12" s="107"/>
      <c r="X12" s="108"/>
      <c r="Y12" s="108"/>
      <c r="Z12" s="120"/>
    </row>
    <row r="13" customFormat="false" ht="12.75" hidden="false" customHeight="false" outlineLevel="0" collapsed="false">
      <c r="A13" s="107" t="n">
        <v>6</v>
      </c>
      <c r="B13" s="108" t="n">
        <v>11356</v>
      </c>
      <c r="C13" s="108" t="n">
        <v>11494</v>
      </c>
      <c r="D13" s="108"/>
      <c r="E13" s="108"/>
      <c r="F13" s="120" t="n">
        <f aca="false">+C13-B13+E13-D13</f>
        <v>138</v>
      </c>
      <c r="G13" s="107"/>
      <c r="H13" s="108"/>
      <c r="I13" s="108"/>
      <c r="J13" s="120"/>
      <c r="K13" s="107"/>
      <c r="L13" s="108"/>
      <c r="M13" s="108"/>
      <c r="N13" s="120"/>
      <c r="O13" s="107"/>
      <c r="P13" s="108"/>
      <c r="Q13" s="108"/>
      <c r="R13" s="120"/>
      <c r="S13" s="107"/>
      <c r="T13" s="108"/>
      <c r="U13" s="108"/>
      <c r="V13" s="120"/>
      <c r="W13" s="107"/>
      <c r="X13" s="108"/>
      <c r="Y13" s="108"/>
      <c r="Z13" s="120"/>
    </row>
    <row r="14" customFormat="false" ht="12.75" hidden="false" customHeight="false" outlineLevel="0" collapsed="false">
      <c r="A14" s="107" t="n">
        <v>7</v>
      </c>
      <c r="B14" s="108" t="n">
        <v>11348</v>
      </c>
      <c r="C14" s="108" t="n">
        <v>11494</v>
      </c>
      <c r="D14" s="108"/>
      <c r="E14" s="108"/>
      <c r="F14" s="120" t="n">
        <f aca="false">+C14-B14+E14-D14</f>
        <v>146</v>
      </c>
      <c r="G14" s="107"/>
      <c r="H14" s="108"/>
      <c r="I14" s="108"/>
      <c r="J14" s="120"/>
      <c r="K14" s="107"/>
      <c r="L14" s="108"/>
      <c r="M14" s="108"/>
      <c r="N14" s="120"/>
      <c r="O14" s="107"/>
      <c r="P14" s="108"/>
      <c r="Q14" s="108"/>
      <c r="R14" s="120"/>
      <c r="S14" s="107"/>
      <c r="T14" s="108"/>
      <c r="U14" s="108"/>
      <c r="V14" s="120"/>
      <c r="W14" s="107"/>
      <c r="X14" s="108"/>
      <c r="Y14" s="108"/>
      <c r="Z14" s="120"/>
    </row>
    <row r="15" customFormat="false" ht="12.75" hidden="false" customHeight="false" outlineLevel="0" collapsed="false">
      <c r="A15" s="107" t="n">
        <v>8</v>
      </c>
      <c r="B15" s="108" t="n">
        <v>10845</v>
      </c>
      <c r="C15" s="108" t="n">
        <v>11494</v>
      </c>
      <c r="D15" s="108"/>
      <c r="E15" s="108"/>
      <c r="F15" s="120" t="n">
        <f aca="false">+C15-B15+E15-D15</f>
        <v>649</v>
      </c>
      <c r="G15" s="107"/>
      <c r="H15" s="108"/>
      <c r="I15" s="108"/>
      <c r="J15" s="120"/>
      <c r="K15" s="107"/>
      <c r="L15" s="108"/>
      <c r="M15" s="108"/>
      <c r="N15" s="120"/>
      <c r="O15" s="107"/>
      <c r="P15" s="108"/>
      <c r="Q15" s="108"/>
      <c r="R15" s="120"/>
      <c r="S15" s="107"/>
      <c r="T15" s="108"/>
      <c r="U15" s="108"/>
      <c r="V15" s="120"/>
      <c r="W15" s="107"/>
      <c r="X15" s="108"/>
      <c r="Y15" s="108"/>
      <c r="Z15" s="120"/>
    </row>
    <row r="16" customFormat="false" ht="12.75" hidden="false" customHeight="false" outlineLevel="0" collapsed="false">
      <c r="A16" s="107" t="n">
        <v>9</v>
      </c>
      <c r="B16" s="108" t="n">
        <v>10042</v>
      </c>
      <c r="C16" s="108" t="n">
        <v>11484</v>
      </c>
      <c r="D16" s="108"/>
      <c r="E16" s="108"/>
      <c r="F16" s="120" t="n">
        <f aca="false">+C16-B16+E16-D16</f>
        <v>1442</v>
      </c>
      <c r="G16" s="107"/>
      <c r="H16" s="108"/>
      <c r="I16" s="108"/>
      <c r="J16" s="120"/>
      <c r="K16" s="107"/>
      <c r="L16" s="108"/>
      <c r="M16" s="108"/>
      <c r="N16" s="120"/>
      <c r="O16" s="107"/>
      <c r="P16" s="108"/>
      <c r="Q16" s="108"/>
      <c r="R16" s="120"/>
      <c r="S16" s="107"/>
      <c r="T16" s="108"/>
      <c r="U16" s="108"/>
      <c r="V16" s="120"/>
      <c r="W16" s="107"/>
      <c r="X16" s="108"/>
      <c r="Y16" s="108"/>
      <c r="Z16" s="120"/>
    </row>
    <row r="17" customFormat="false" ht="12.75" hidden="false" customHeight="false" outlineLevel="0" collapsed="false">
      <c r="A17" s="107" t="n">
        <v>10</v>
      </c>
      <c r="B17" s="108" t="n">
        <v>11541</v>
      </c>
      <c r="C17" s="108" t="n">
        <v>11494</v>
      </c>
      <c r="D17" s="108"/>
      <c r="E17" s="108"/>
      <c r="F17" s="120" t="n">
        <f aca="false">+C17-B17+E17-D17</f>
        <v>-47</v>
      </c>
      <c r="G17" s="107"/>
      <c r="H17" s="108"/>
      <c r="I17" s="108"/>
      <c r="J17" s="120"/>
      <c r="K17" s="107"/>
      <c r="L17" s="108"/>
      <c r="M17" s="108"/>
      <c r="N17" s="120"/>
      <c r="O17" s="107"/>
      <c r="P17" s="108"/>
      <c r="Q17" s="108"/>
      <c r="R17" s="120"/>
      <c r="S17" s="107"/>
      <c r="T17" s="108"/>
      <c r="U17" s="108"/>
      <c r="V17" s="120"/>
      <c r="W17" s="107"/>
      <c r="X17" s="108"/>
      <c r="Y17" s="108"/>
      <c r="Z17" s="120"/>
    </row>
    <row r="18" customFormat="false" ht="12.75" hidden="false" customHeight="false" outlineLevel="0" collapsed="false">
      <c r="A18" s="107" t="n">
        <v>11</v>
      </c>
      <c r="B18" s="108" t="n">
        <v>12142</v>
      </c>
      <c r="C18" s="108" t="n">
        <v>11444</v>
      </c>
      <c r="D18" s="108" t="n">
        <v>-1</v>
      </c>
      <c r="E18" s="108"/>
      <c r="F18" s="120" t="n">
        <f aca="false">+C18-B18+E18-D18</f>
        <v>-697</v>
      </c>
      <c r="G18" s="107"/>
      <c r="H18" s="108"/>
      <c r="I18" s="108"/>
      <c r="J18" s="120"/>
      <c r="K18" s="107"/>
      <c r="L18" s="108"/>
      <c r="M18" s="108"/>
      <c r="N18" s="120"/>
      <c r="O18" s="107"/>
      <c r="P18" s="108"/>
      <c r="Q18" s="108"/>
      <c r="R18" s="120"/>
      <c r="S18" s="107"/>
      <c r="T18" s="108"/>
      <c r="U18" s="108"/>
      <c r="V18" s="120"/>
      <c r="W18" s="107"/>
      <c r="X18" s="108"/>
      <c r="Y18" s="108"/>
      <c r="Z18" s="120"/>
    </row>
    <row r="19" customFormat="false" ht="12.75" hidden="false" customHeight="false" outlineLevel="0" collapsed="false">
      <c r="A19" s="107" t="n">
        <v>12</v>
      </c>
      <c r="B19" s="108" t="n">
        <v>12792</v>
      </c>
      <c r="C19" s="108" t="n">
        <v>11444</v>
      </c>
      <c r="D19" s="108"/>
      <c r="E19" s="108"/>
      <c r="F19" s="120" t="n">
        <f aca="false">+C19-B19+E19-D19</f>
        <v>-1348</v>
      </c>
      <c r="G19" s="107"/>
      <c r="H19" s="108"/>
      <c r="I19" s="108"/>
      <c r="J19" s="120"/>
      <c r="K19" s="107"/>
      <c r="L19" s="108"/>
      <c r="M19" s="108"/>
      <c r="N19" s="120"/>
      <c r="O19" s="107"/>
      <c r="P19" s="108"/>
      <c r="Q19" s="108"/>
      <c r="R19" s="120"/>
      <c r="S19" s="107"/>
      <c r="T19" s="108"/>
      <c r="U19" s="108"/>
      <c r="V19" s="120"/>
      <c r="W19" s="107"/>
      <c r="X19" s="108"/>
      <c r="Y19" s="108"/>
      <c r="Z19" s="120"/>
    </row>
    <row r="20" customFormat="false" ht="12.75" hidden="false" customHeight="false" outlineLevel="0" collapsed="false">
      <c r="A20" s="107" t="n">
        <v>13</v>
      </c>
      <c r="B20" s="108" t="n">
        <v>12272</v>
      </c>
      <c r="C20" s="108" t="n">
        <v>11444</v>
      </c>
      <c r="D20" s="108"/>
      <c r="E20" s="108"/>
      <c r="F20" s="120" t="n">
        <f aca="false">+C20-B20+E20-D20</f>
        <v>-828</v>
      </c>
      <c r="G20" s="107"/>
      <c r="H20" s="108"/>
      <c r="I20" s="108"/>
      <c r="J20" s="120"/>
      <c r="K20" s="107"/>
      <c r="L20" s="108"/>
      <c r="M20" s="108"/>
      <c r="N20" s="120"/>
      <c r="O20" s="107"/>
      <c r="P20" s="108"/>
      <c r="Q20" s="108"/>
      <c r="R20" s="120"/>
      <c r="S20" s="107"/>
      <c r="T20" s="108"/>
      <c r="U20" s="108"/>
      <c r="V20" s="120"/>
      <c r="W20" s="107"/>
      <c r="X20" s="108"/>
      <c r="Y20" s="108"/>
      <c r="Z20" s="120"/>
    </row>
    <row r="21" customFormat="false" ht="12.75" hidden="false" customHeight="false" outlineLevel="0" collapsed="false">
      <c r="A21" s="107" t="n">
        <v>14</v>
      </c>
      <c r="B21" s="108" t="n">
        <v>11797</v>
      </c>
      <c r="C21" s="108" t="n">
        <v>11830</v>
      </c>
      <c r="D21" s="108"/>
      <c r="E21" s="108"/>
      <c r="F21" s="120" t="n">
        <f aca="false">+C21-B21+E21-D21</f>
        <v>33</v>
      </c>
      <c r="G21" s="107"/>
      <c r="H21" s="108"/>
      <c r="I21" s="108"/>
      <c r="J21" s="120"/>
      <c r="K21" s="107"/>
      <c r="L21" s="108"/>
      <c r="M21" s="108"/>
      <c r="N21" s="120"/>
      <c r="O21" s="107"/>
      <c r="P21" s="108"/>
      <c r="Q21" s="108"/>
      <c r="R21" s="120"/>
      <c r="S21" s="107"/>
      <c r="T21" s="108"/>
      <c r="U21" s="108"/>
      <c r="V21" s="120"/>
      <c r="W21" s="107"/>
      <c r="X21" s="108"/>
      <c r="Y21" s="108"/>
      <c r="Z21" s="120"/>
    </row>
    <row r="22" customFormat="false" ht="12.75" hidden="false" customHeight="false" outlineLevel="0" collapsed="false">
      <c r="A22" s="107" t="n">
        <v>15</v>
      </c>
      <c r="B22" s="108" t="n">
        <v>11785</v>
      </c>
      <c r="C22" s="108" t="n">
        <v>11837</v>
      </c>
      <c r="D22" s="108"/>
      <c r="E22" s="108"/>
      <c r="F22" s="120" t="n">
        <f aca="false">+C22-B22+E22-D22</f>
        <v>52</v>
      </c>
      <c r="G22" s="107"/>
      <c r="H22" s="108"/>
      <c r="I22" s="108"/>
      <c r="J22" s="120"/>
      <c r="K22" s="107"/>
      <c r="L22" s="108"/>
      <c r="M22" s="108"/>
      <c r="N22" s="120"/>
      <c r="O22" s="107"/>
      <c r="P22" s="108"/>
      <c r="Q22" s="108"/>
      <c r="R22" s="120"/>
      <c r="S22" s="107"/>
      <c r="T22" s="108"/>
      <c r="U22" s="108"/>
      <c r="V22" s="120"/>
      <c r="W22" s="107"/>
      <c r="X22" s="108"/>
      <c r="Y22" s="108"/>
      <c r="Z22" s="120"/>
    </row>
    <row r="23" customFormat="false" ht="12.75" hidden="false" customHeight="false" outlineLevel="0" collapsed="false">
      <c r="A23" s="107" t="n">
        <v>16</v>
      </c>
      <c r="B23" s="108" t="n">
        <v>11842</v>
      </c>
      <c r="C23" s="108" t="n">
        <v>11772</v>
      </c>
      <c r="D23" s="108" t="n">
        <v>-183</v>
      </c>
      <c r="E23" s="108"/>
      <c r="F23" s="120" t="n">
        <f aca="false">+C23-B23+E23-D23</f>
        <v>113</v>
      </c>
      <c r="G23" s="107"/>
      <c r="H23" s="108"/>
      <c r="I23" s="108"/>
      <c r="J23" s="120"/>
      <c r="K23" s="107"/>
      <c r="L23" s="108"/>
      <c r="M23" s="108"/>
      <c r="N23" s="120"/>
      <c r="O23" s="107"/>
      <c r="P23" s="108"/>
      <c r="Q23" s="108"/>
      <c r="R23" s="120"/>
      <c r="S23" s="107"/>
      <c r="T23" s="108"/>
      <c r="U23" s="108"/>
      <c r="V23" s="120"/>
      <c r="W23" s="107"/>
      <c r="X23" s="108"/>
      <c r="Y23" s="108"/>
      <c r="Z23" s="120"/>
    </row>
    <row r="24" customFormat="false" ht="12.75" hidden="false" customHeight="false" outlineLevel="0" collapsed="false">
      <c r="A24" s="107" t="n">
        <v>17</v>
      </c>
      <c r="B24" s="108" t="n">
        <v>12746</v>
      </c>
      <c r="C24" s="108" t="n">
        <v>11494</v>
      </c>
      <c r="D24" s="108" t="n">
        <v>-7</v>
      </c>
      <c r="E24" s="108"/>
      <c r="F24" s="120" t="n">
        <f aca="false">+C24-B24+E24-D24</f>
        <v>-1245</v>
      </c>
      <c r="G24" s="107"/>
      <c r="H24" s="108"/>
      <c r="I24" s="108"/>
      <c r="J24" s="120"/>
      <c r="K24" s="107"/>
      <c r="L24" s="108"/>
      <c r="M24" s="108"/>
      <c r="N24" s="120"/>
      <c r="O24" s="107"/>
      <c r="P24" s="108"/>
      <c r="Q24" s="108"/>
      <c r="R24" s="120"/>
      <c r="S24" s="107"/>
      <c r="T24" s="108"/>
      <c r="U24" s="108"/>
      <c r="V24" s="120"/>
      <c r="W24" s="107"/>
      <c r="X24" s="108"/>
      <c r="Y24" s="108"/>
      <c r="Z24" s="120"/>
    </row>
    <row r="25" customFormat="false" ht="12.75" hidden="false" customHeight="false" outlineLevel="0" collapsed="false">
      <c r="A25" s="107" t="n">
        <v>18</v>
      </c>
      <c r="B25" s="108" t="n">
        <v>11034</v>
      </c>
      <c r="C25" s="108" t="n">
        <v>11467</v>
      </c>
      <c r="D25" s="108" t="n">
        <v>-66</v>
      </c>
      <c r="E25" s="108"/>
      <c r="F25" s="120" t="n">
        <f aca="false">+C25-B25+E25-D25</f>
        <v>499</v>
      </c>
      <c r="G25" s="107"/>
      <c r="H25" s="108"/>
      <c r="I25" s="108"/>
      <c r="J25" s="120"/>
      <c r="K25" s="107"/>
      <c r="L25" s="108"/>
      <c r="M25" s="108"/>
      <c r="N25" s="120"/>
      <c r="O25" s="107"/>
      <c r="P25" s="108"/>
      <c r="Q25" s="108"/>
      <c r="R25" s="120"/>
      <c r="S25" s="107"/>
      <c r="T25" s="108"/>
      <c r="U25" s="108"/>
      <c r="V25" s="120"/>
      <c r="W25" s="107"/>
      <c r="X25" s="108"/>
      <c r="Y25" s="108"/>
      <c r="Z25" s="120"/>
    </row>
    <row r="26" customFormat="false" ht="12.75" hidden="false" customHeight="false" outlineLevel="0" collapsed="false">
      <c r="A26" s="107" t="n">
        <v>19</v>
      </c>
      <c r="B26" s="108" t="n">
        <v>11828</v>
      </c>
      <c r="C26" s="108" t="n">
        <v>11467</v>
      </c>
      <c r="D26" s="108" t="n">
        <v>-113</v>
      </c>
      <c r="E26" s="108"/>
      <c r="F26" s="120" t="n">
        <f aca="false">+C26-B26+E26-D26</f>
        <v>-248</v>
      </c>
      <c r="G26" s="107"/>
      <c r="H26" s="108"/>
      <c r="I26" s="108"/>
      <c r="J26" s="120"/>
      <c r="K26" s="107"/>
      <c r="L26" s="108"/>
      <c r="M26" s="108"/>
      <c r="N26" s="120"/>
      <c r="O26" s="107"/>
      <c r="P26" s="108"/>
      <c r="Q26" s="108"/>
      <c r="R26" s="120"/>
      <c r="S26" s="107"/>
      <c r="T26" s="108"/>
      <c r="U26" s="108"/>
      <c r="V26" s="120"/>
      <c r="W26" s="107"/>
      <c r="X26" s="108"/>
      <c r="Y26" s="108"/>
      <c r="Z26" s="120"/>
    </row>
    <row r="27" customFormat="false" ht="12.75" hidden="false" customHeight="false" outlineLevel="0" collapsed="false">
      <c r="A27" s="107" t="n">
        <v>20</v>
      </c>
      <c r="B27" s="108" t="n">
        <v>12542</v>
      </c>
      <c r="C27" s="108" t="n">
        <v>11467</v>
      </c>
      <c r="D27" s="108" t="n">
        <v>-62</v>
      </c>
      <c r="E27" s="108"/>
      <c r="F27" s="120" t="n">
        <f aca="false">+C27-B27+E27-D27</f>
        <v>-1013</v>
      </c>
      <c r="G27" s="107"/>
      <c r="H27" s="108"/>
      <c r="I27" s="108"/>
      <c r="J27" s="120"/>
      <c r="K27" s="107"/>
      <c r="L27" s="108"/>
      <c r="M27" s="108"/>
      <c r="N27" s="120"/>
      <c r="O27" s="107"/>
      <c r="P27" s="108"/>
      <c r="Q27" s="108"/>
      <c r="R27" s="120"/>
      <c r="S27" s="107"/>
      <c r="T27" s="108"/>
      <c r="U27" s="108"/>
      <c r="V27" s="120"/>
      <c r="W27" s="107"/>
      <c r="X27" s="108"/>
      <c r="Y27" s="108"/>
      <c r="Z27" s="120"/>
    </row>
    <row r="28" customFormat="false" ht="12.75" hidden="false" customHeight="false" outlineLevel="0" collapsed="false">
      <c r="A28" s="107" t="n">
        <v>21</v>
      </c>
      <c r="B28" s="108" t="n">
        <v>11913</v>
      </c>
      <c r="C28" s="108" t="n">
        <v>11494</v>
      </c>
      <c r="D28" s="108" t="n">
        <v>-36</v>
      </c>
      <c r="E28" s="108"/>
      <c r="F28" s="120" t="n">
        <f aca="false">+C28-B28+E28-D28</f>
        <v>-383</v>
      </c>
      <c r="G28" s="107"/>
      <c r="H28" s="108"/>
      <c r="I28" s="108"/>
      <c r="J28" s="120"/>
      <c r="K28" s="107"/>
      <c r="L28" s="108"/>
      <c r="M28" s="108"/>
      <c r="N28" s="120"/>
      <c r="O28" s="107"/>
      <c r="P28" s="108"/>
      <c r="Q28" s="108"/>
      <c r="R28" s="120"/>
      <c r="S28" s="107"/>
      <c r="T28" s="108"/>
      <c r="U28" s="108"/>
      <c r="V28" s="120"/>
      <c r="W28" s="107"/>
      <c r="X28" s="108"/>
      <c r="Y28" s="108"/>
      <c r="Z28" s="120"/>
    </row>
    <row r="29" customFormat="false" ht="12.75" hidden="false" customHeight="false" outlineLevel="0" collapsed="false">
      <c r="A29" s="107" t="n">
        <v>22</v>
      </c>
      <c r="B29" s="108" t="n">
        <v>10242</v>
      </c>
      <c r="C29" s="108" t="n">
        <v>11494</v>
      </c>
      <c r="D29" s="108" t="n">
        <v>-104</v>
      </c>
      <c r="E29" s="108"/>
      <c r="F29" s="120" t="n">
        <f aca="false">+C29-B29+E29-D29</f>
        <v>1356</v>
      </c>
      <c r="G29" s="107"/>
      <c r="H29" s="108"/>
      <c r="I29" s="108"/>
      <c r="J29" s="120"/>
      <c r="K29" s="107"/>
      <c r="L29" s="108"/>
      <c r="M29" s="108"/>
      <c r="N29" s="120"/>
      <c r="O29" s="107"/>
      <c r="P29" s="108"/>
      <c r="Q29" s="108"/>
      <c r="R29" s="120"/>
      <c r="S29" s="107"/>
      <c r="T29" s="108"/>
      <c r="U29" s="108"/>
      <c r="V29" s="120"/>
      <c r="W29" s="107"/>
      <c r="X29" s="108"/>
      <c r="Y29" s="108"/>
      <c r="Z29" s="120"/>
    </row>
    <row r="30" customFormat="false" ht="12.75" hidden="false" customHeight="false" outlineLevel="0" collapsed="false">
      <c r="A30" s="107" t="n">
        <v>23</v>
      </c>
      <c r="B30" s="108" t="n">
        <v>12102</v>
      </c>
      <c r="C30" s="108" t="n">
        <v>11494</v>
      </c>
      <c r="D30" s="108" t="n">
        <v>-81</v>
      </c>
      <c r="E30" s="108"/>
      <c r="F30" s="120" t="n">
        <f aca="false">+C30-B30+E30-D30</f>
        <v>-527</v>
      </c>
      <c r="G30" s="107"/>
      <c r="H30" s="108"/>
      <c r="I30" s="108"/>
      <c r="J30" s="120"/>
      <c r="K30" s="107"/>
      <c r="L30" s="108"/>
      <c r="M30" s="108"/>
      <c r="N30" s="120"/>
      <c r="O30" s="107"/>
      <c r="P30" s="108"/>
      <c r="Q30" s="108"/>
      <c r="R30" s="120"/>
      <c r="S30" s="107"/>
      <c r="T30" s="108"/>
      <c r="U30" s="108"/>
      <c r="V30" s="120"/>
      <c r="W30" s="107"/>
      <c r="X30" s="108"/>
      <c r="Y30" s="108"/>
      <c r="Z30" s="120"/>
    </row>
    <row r="31" customFormat="false" ht="12.75" hidden="false" customHeight="false" outlineLevel="0" collapsed="false">
      <c r="A31" s="107" t="n">
        <v>24</v>
      </c>
      <c r="B31" s="108" t="n">
        <v>12098</v>
      </c>
      <c r="C31" s="108" t="n">
        <v>11494</v>
      </c>
      <c r="D31" s="108" t="n">
        <v>-121</v>
      </c>
      <c r="E31" s="108"/>
      <c r="F31" s="120" t="n">
        <f aca="false">+C31-B31+E31-D31</f>
        <v>-483</v>
      </c>
      <c r="G31" s="107"/>
      <c r="H31" s="108"/>
      <c r="I31" s="108"/>
      <c r="J31" s="120"/>
      <c r="K31" s="107"/>
      <c r="L31" s="108"/>
      <c r="M31" s="108"/>
      <c r="N31" s="120"/>
      <c r="O31" s="107"/>
      <c r="P31" s="108"/>
      <c r="Q31" s="108"/>
      <c r="R31" s="120"/>
      <c r="S31" s="107"/>
      <c r="T31" s="108"/>
      <c r="U31" s="108"/>
      <c r="V31" s="120"/>
      <c r="W31" s="107"/>
      <c r="X31" s="108"/>
      <c r="Y31" s="108"/>
      <c r="Z31" s="120"/>
    </row>
    <row r="32" customFormat="false" ht="12.75" hidden="false" customHeight="false" outlineLevel="0" collapsed="false">
      <c r="A32" s="107" t="n">
        <v>25</v>
      </c>
      <c r="B32" s="108" t="n">
        <v>12322</v>
      </c>
      <c r="C32" s="108" t="n">
        <v>11494</v>
      </c>
      <c r="D32" s="108" t="n">
        <v>-47</v>
      </c>
      <c r="E32" s="108"/>
      <c r="F32" s="120" t="n">
        <f aca="false">+C32-B32+E32-D32</f>
        <v>-781</v>
      </c>
      <c r="G32" s="107"/>
      <c r="H32" s="108"/>
      <c r="I32" s="108"/>
      <c r="J32" s="120"/>
      <c r="K32" s="107"/>
      <c r="L32" s="108"/>
      <c r="M32" s="108"/>
      <c r="N32" s="120"/>
      <c r="O32" s="107"/>
      <c r="P32" s="108"/>
      <c r="Q32" s="108"/>
      <c r="R32" s="120"/>
      <c r="S32" s="107"/>
      <c r="T32" s="108"/>
      <c r="U32" s="108"/>
      <c r="V32" s="120"/>
      <c r="W32" s="107"/>
      <c r="X32" s="108"/>
      <c r="Y32" s="108"/>
      <c r="Z32" s="120"/>
    </row>
    <row r="33" customFormat="false" ht="12.75" hidden="false" customHeight="false" outlineLevel="0" collapsed="false">
      <c r="A33" s="107" t="n">
        <v>26</v>
      </c>
      <c r="B33" s="108" t="n">
        <v>12194</v>
      </c>
      <c r="C33" s="108" t="n">
        <v>11494</v>
      </c>
      <c r="D33" s="108" t="n">
        <v>-58</v>
      </c>
      <c r="E33" s="108"/>
      <c r="F33" s="120" t="n">
        <f aca="false">+C33-B33+E33-D33</f>
        <v>-642</v>
      </c>
      <c r="G33" s="107"/>
      <c r="H33" s="108"/>
      <c r="I33" s="108"/>
      <c r="J33" s="120"/>
      <c r="K33" s="107"/>
      <c r="L33" s="108"/>
      <c r="M33" s="108"/>
      <c r="N33" s="120"/>
      <c r="O33" s="107"/>
      <c r="P33" s="108"/>
      <c r="Q33" s="108"/>
      <c r="R33" s="120"/>
      <c r="S33" s="107"/>
      <c r="T33" s="108"/>
      <c r="U33" s="108"/>
      <c r="V33" s="120"/>
      <c r="W33" s="107"/>
      <c r="X33" s="108"/>
      <c r="Y33" s="108"/>
      <c r="Z33" s="120"/>
    </row>
    <row r="34" customFormat="false" ht="12.75" hidden="false" customHeight="false" outlineLevel="0" collapsed="false">
      <c r="A34" s="107" t="n">
        <v>27</v>
      </c>
      <c r="B34" s="108" t="n">
        <v>11515</v>
      </c>
      <c r="C34" s="108" t="n">
        <v>11494</v>
      </c>
      <c r="D34" s="108" t="n">
        <v>-65</v>
      </c>
      <c r="E34" s="108"/>
      <c r="F34" s="120" t="n">
        <f aca="false">+C34-B34+E34-D34</f>
        <v>44</v>
      </c>
      <c r="G34" s="107"/>
      <c r="H34" s="108"/>
      <c r="I34" s="108"/>
      <c r="J34" s="120"/>
      <c r="K34" s="107"/>
      <c r="L34" s="108"/>
      <c r="M34" s="108"/>
      <c r="N34" s="120"/>
      <c r="O34" s="107"/>
      <c r="P34" s="108"/>
      <c r="Q34" s="108"/>
      <c r="R34" s="120"/>
      <c r="S34" s="107"/>
      <c r="T34" s="108"/>
      <c r="U34" s="108"/>
      <c r="V34" s="120"/>
      <c r="W34" s="107"/>
      <c r="X34" s="108"/>
      <c r="Y34" s="108"/>
      <c r="Z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+C35-B35+E35-D35</f>
        <v>0</v>
      </c>
      <c r="G35" s="107"/>
      <c r="H35" s="108"/>
      <c r="I35" s="108"/>
      <c r="J35" s="120"/>
      <c r="K35" s="107"/>
      <c r="L35" s="108"/>
      <c r="M35" s="108"/>
      <c r="N35" s="120"/>
      <c r="O35" s="107"/>
      <c r="P35" s="108"/>
      <c r="Q35" s="108"/>
      <c r="R35" s="120"/>
      <c r="S35" s="107"/>
      <c r="T35" s="108"/>
      <c r="U35" s="108"/>
      <c r="V35" s="120"/>
      <c r="W35" s="107"/>
      <c r="X35" s="108"/>
      <c r="Y35" s="108"/>
      <c r="Z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+C36-B36+E36-D36</f>
        <v>0</v>
      </c>
      <c r="G36" s="107"/>
      <c r="H36" s="108"/>
      <c r="I36" s="108"/>
      <c r="J36" s="120"/>
      <c r="K36" s="107"/>
      <c r="L36" s="108"/>
      <c r="M36" s="108"/>
      <c r="N36" s="120"/>
      <c r="O36" s="107"/>
      <c r="P36" s="108"/>
      <c r="Q36" s="108"/>
      <c r="R36" s="120"/>
      <c r="S36" s="107"/>
      <c r="T36" s="108"/>
      <c r="U36" s="108"/>
      <c r="V36" s="120"/>
      <c r="W36" s="107"/>
      <c r="X36" s="108"/>
      <c r="Y36" s="108"/>
      <c r="Z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+C37-B37+E37-D37</f>
        <v>0</v>
      </c>
      <c r="G37" s="107"/>
      <c r="H37" s="108"/>
      <c r="I37" s="108"/>
      <c r="J37" s="120"/>
      <c r="K37" s="107"/>
      <c r="L37" s="108"/>
      <c r="M37" s="108"/>
      <c r="N37" s="120"/>
      <c r="O37" s="107"/>
      <c r="P37" s="108"/>
      <c r="Q37" s="108"/>
      <c r="R37" s="120"/>
      <c r="S37" s="107"/>
      <c r="T37" s="108"/>
      <c r="U37" s="108"/>
      <c r="V37" s="120"/>
      <c r="W37" s="107"/>
      <c r="X37" s="108"/>
      <c r="Y37" s="108"/>
      <c r="Z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+C38-B38+E38-D38</f>
        <v>0</v>
      </c>
      <c r="G38" s="107"/>
      <c r="H38" s="108"/>
      <c r="I38" s="108"/>
      <c r="J38" s="120"/>
      <c r="K38" s="107"/>
      <c r="L38" s="108"/>
      <c r="M38" s="108"/>
      <c r="N38" s="120"/>
      <c r="O38" s="107"/>
      <c r="P38" s="108"/>
      <c r="Q38" s="108"/>
      <c r="R38" s="120"/>
      <c r="S38" s="107"/>
      <c r="T38" s="108"/>
      <c r="U38" s="108"/>
      <c r="V38" s="120"/>
      <c r="W38" s="107"/>
      <c r="X38" s="108"/>
      <c r="Y38" s="108"/>
      <c r="Z38" s="120"/>
    </row>
    <row r="39" customFormat="false" ht="12.75" hidden="false" customHeight="false" outlineLevel="0" collapsed="false">
      <c r="A39" s="107"/>
      <c r="B39" s="108" t="n">
        <f aca="false">SUM(B8:B38)</f>
        <v>319040</v>
      </c>
      <c r="C39" s="108" t="n">
        <f aca="false">SUM(C8:C38)</f>
        <v>310486</v>
      </c>
      <c r="D39" s="108" t="n">
        <f aca="false">SUM(D8:D38)</f>
        <v>-944</v>
      </c>
      <c r="E39" s="108" t="n">
        <f aca="false">SUM(E8:E38)</f>
        <v>0</v>
      </c>
      <c r="F39" s="108" t="n">
        <f aca="false">SUM(F8:F38)</f>
        <v>-7610</v>
      </c>
      <c r="G39" s="107"/>
      <c r="H39" s="108"/>
      <c r="I39" s="108"/>
      <c r="J39" s="108"/>
      <c r="K39" s="107"/>
      <c r="L39" s="108"/>
      <c r="M39" s="108"/>
      <c r="N39" s="108"/>
      <c r="O39" s="107"/>
      <c r="P39" s="108"/>
      <c r="Q39" s="108"/>
      <c r="R39" s="108"/>
      <c r="S39" s="107"/>
      <c r="T39" s="108"/>
      <c r="U39" s="108"/>
      <c r="V39" s="108"/>
      <c r="W39" s="107"/>
      <c r="X39" s="108"/>
      <c r="Y39" s="108"/>
      <c r="Z39" s="108"/>
    </row>
    <row r="40" customFormat="false" ht="12.75" hidden="false" customHeight="false" outlineLevel="0" collapsed="false">
      <c r="A40" s="134"/>
      <c r="C40" s="30"/>
      <c r="D40" s="30"/>
      <c r="E40" s="30"/>
      <c r="F40" s="184" t="n">
        <f aca="false">+summary!H4</f>
        <v>2.81</v>
      </c>
      <c r="G40" s="134"/>
      <c r="I40" s="30"/>
      <c r="J40" s="184"/>
      <c r="K40" s="134"/>
      <c r="M40" s="30"/>
      <c r="N40" s="184"/>
      <c r="O40" s="134"/>
      <c r="Q40" s="30"/>
      <c r="R40" s="184"/>
      <c r="S40" s="134"/>
      <c r="U40" s="30"/>
      <c r="V40" s="184"/>
      <c r="W40" s="134"/>
      <c r="Y40" s="30"/>
      <c r="Z40" s="184"/>
    </row>
    <row r="41" customFormat="false" ht="12.75" hidden="false" customHeight="false" outlineLevel="0" collapsed="false">
      <c r="F41" s="132" t="n">
        <f aca="false">+F40*F39</f>
        <v>-21384.1</v>
      </c>
      <c r="J41" s="132"/>
      <c r="N41" s="132"/>
      <c r="R41" s="132"/>
      <c r="V41" s="132"/>
      <c r="Z41" s="132"/>
    </row>
    <row r="42" customFormat="false" ht="12.75" hidden="false" customHeight="false" outlineLevel="0" collapsed="false">
      <c r="A42" s="152" t="n">
        <v>37103</v>
      </c>
      <c r="C42" s="79"/>
      <c r="D42" s="79"/>
      <c r="E42" s="79"/>
      <c r="F42" s="361" t="n">
        <v>442176.52</v>
      </c>
      <c r="G42" s="152"/>
      <c r="I42" s="79"/>
      <c r="J42" s="132"/>
      <c r="K42" s="152"/>
      <c r="M42" s="79"/>
      <c r="N42" s="132"/>
      <c r="O42" s="152"/>
      <c r="Q42" s="79"/>
      <c r="R42" s="132"/>
      <c r="S42" s="152"/>
      <c r="U42" s="79"/>
      <c r="V42" s="132"/>
      <c r="W42" s="152"/>
      <c r="Y42" s="79"/>
      <c r="Z42" s="132"/>
    </row>
    <row r="43" customFormat="false" ht="12.75" hidden="false" customHeight="false" outlineLevel="0" collapsed="false">
      <c r="A43" s="152" t="n">
        <v>37130</v>
      </c>
      <c r="C43" s="151"/>
      <c r="D43" s="151"/>
      <c r="E43" s="151"/>
      <c r="F43" s="117" t="n">
        <f aca="false">+F42+F41</f>
        <v>420792.42</v>
      </c>
      <c r="G43" s="152"/>
      <c r="I43" s="151"/>
      <c r="J43" s="132"/>
      <c r="K43" s="152"/>
      <c r="M43" s="151"/>
      <c r="N43" s="132"/>
      <c r="O43" s="152"/>
      <c r="Q43" s="151"/>
      <c r="R43" s="132"/>
      <c r="S43" s="152"/>
      <c r="U43" s="151"/>
      <c r="V43" s="132"/>
      <c r="W43" s="152"/>
      <c r="Y43" s="151"/>
      <c r="Z43" s="132"/>
    </row>
    <row r="46" customFormat="false" ht="12.75" hidden="false" customHeight="false" outlineLevel="0" collapsed="false">
      <c r="A46" s="9" t="s">
        <v>125</v>
      </c>
      <c r="B46" s="9"/>
      <c r="C46" s="9"/>
      <c r="D46" s="9"/>
      <c r="E46" s="108"/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301" t="n">
        <v>-235778</v>
      </c>
      <c r="E47" s="108"/>
    </row>
    <row r="48" customFormat="false" ht="12.75" hidden="false" customHeight="false" outlineLevel="0" collapsed="false">
      <c r="A48" s="124" t="n">
        <f aca="false">+A43</f>
        <v>37130</v>
      </c>
      <c r="B48" s="9"/>
      <c r="C48" s="9"/>
      <c r="D48" s="37" t="n">
        <f aca="false">+F39</f>
        <v>-7610</v>
      </c>
      <c r="E48" s="108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-243388</v>
      </c>
      <c r="E49" s="108"/>
    </row>
    <row r="50" customFormat="false" ht="12.75" hidden="false" customHeight="false" outlineLevel="0" collapsed="false">
      <c r="A50" s="146"/>
      <c r="B50" s="108"/>
      <c r="C50" s="108"/>
      <c r="D50" s="108"/>
      <c r="E50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H18" activeCellId="3" sqref="B15 B16 B10 H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5" t="s">
        <v>1</v>
      </c>
      <c r="H2" s="66"/>
    </row>
    <row r="3" customFormat="false" ht="15" hidden="false" customHeight="true" outlineLevel="0" collapsed="false">
      <c r="G3" s="67" t="s">
        <v>2</v>
      </c>
      <c r="H3" s="68" t="n">
        <f aca="false">+'[1]0701'!$K$39</f>
        <v>2.63</v>
      </c>
      <c r="I3" s="69" t="n">
        <f aca="true">NOW()</f>
        <v>45926.9554874487</v>
      </c>
    </row>
    <row r="4" customFormat="false" ht="15" hidden="false" customHeight="true" outlineLevel="0" collapsed="false">
      <c r="A4" s="5" t="s">
        <v>3</v>
      </c>
      <c r="C4" s="5" t="s">
        <v>4</v>
      </c>
      <c r="G4" s="70" t="s">
        <v>5</v>
      </c>
      <c r="H4" s="71" t="n">
        <f aca="false">+'[1]0701'!$M$39</f>
        <v>2.81</v>
      </c>
    </row>
    <row r="5" customFormat="false" ht="15" hidden="false" customHeight="true" outlineLevel="0" collapsed="false">
      <c r="B5" s="61"/>
      <c r="G5" s="67" t="s">
        <v>6</v>
      </c>
      <c r="H5" s="68" t="n">
        <f aca="false">+'[1]0701'!$H$39</f>
        <v>2.9</v>
      </c>
    </row>
    <row r="6" customFormat="false" ht="9.95" hidden="false" customHeight="true" outlineLevel="0" collapsed="false"/>
    <row r="7" customFormat="false" ht="15" hidden="false" customHeight="true" outlineLevel="0" collapsed="false">
      <c r="A7" s="72" t="s">
        <v>12</v>
      </c>
      <c r="B7" s="73" t="s">
        <v>97</v>
      </c>
      <c r="C7" s="74" t="s">
        <v>15</v>
      </c>
      <c r="D7" s="75" t="s">
        <v>17</v>
      </c>
      <c r="E7" s="72" t="s">
        <v>98</v>
      </c>
      <c r="F7" s="76" t="s">
        <v>19</v>
      </c>
      <c r="G7" s="72" t="s">
        <v>20</v>
      </c>
    </row>
    <row r="8" customFormat="false" ht="15" hidden="false" customHeight="true" outlineLevel="0" collapsed="false">
      <c r="A8" s="77" t="s">
        <v>78</v>
      </c>
      <c r="B8" s="29" t="n">
        <f aca="false">+C8*$H$3</f>
        <v>743806.08</v>
      </c>
      <c r="C8" s="27" t="n">
        <f aca="false">+williams!J40</f>
        <v>282816</v>
      </c>
      <c r="D8" s="32" t="n">
        <f aca="false">+williams!A40</f>
        <v>37130</v>
      </c>
      <c r="E8" s="28" t="s">
        <v>99</v>
      </c>
      <c r="F8" s="28" t="s">
        <v>79</v>
      </c>
      <c r="G8" s="9"/>
      <c r="H8" s="31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8" t="s">
        <v>43</v>
      </c>
      <c r="B9" s="29" t="n">
        <f aca="false">+Conoco!$F$41</f>
        <v>536617.19</v>
      </c>
      <c r="C9" s="27" t="n">
        <f aca="false">+B9/$H$4</f>
        <v>190966.971530249</v>
      </c>
      <c r="D9" s="32" t="n">
        <f aca="false">+Conoco!A41</f>
        <v>37130</v>
      </c>
      <c r="E9" s="9" t="s">
        <v>100</v>
      </c>
      <c r="F9" s="9" t="s">
        <v>37</v>
      </c>
      <c r="G9" s="9" t="s">
        <v>101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7" t="s">
        <v>74</v>
      </c>
      <c r="B10" s="29" t="n">
        <f aca="false">+C10*$H$4</f>
        <v>491539.25</v>
      </c>
      <c r="C10" s="30" t="n">
        <f aca="false">+SoCal!F40</f>
        <v>174925</v>
      </c>
      <c r="D10" s="32" t="n">
        <f aca="false">+SoCal!A40</f>
        <v>37130</v>
      </c>
      <c r="E10" s="28" t="s">
        <v>99</v>
      </c>
      <c r="F10" s="28" t="s">
        <v>54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8" t="s">
        <v>53</v>
      </c>
      <c r="B11" s="29" t="n">
        <f aca="false">+PGETX!$H$39</f>
        <v>485054.76</v>
      </c>
      <c r="C11" s="27" t="n">
        <f aca="false">+B11/$H$4</f>
        <v>172617.352313167</v>
      </c>
      <c r="D11" s="35" t="n">
        <f aca="false">+PGETX!E39</f>
        <v>37130</v>
      </c>
      <c r="E11" s="9" t="s">
        <v>100</v>
      </c>
      <c r="F11" s="9" t="s">
        <v>54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8" t="s">
        <v>50</v>
      </c>
      <c r="B12" s="29" t="n">
        <f aca="false">+CIG!$D$43</f>
        <v>482889.84</v>
      </c>
      <c r="C12" s="27" t="n">
        <f aca="false">+B12/$H$4</f>
        <v>171846.918149466</v>
      </c>
      <c r="D12" s="35" t="n">
        <f aca="false">+CIG!A43</f>
        <v>37130</v>
      </c>
      <c r="E12" s="9" t="s">
        <v>100</v>
      </c>
      <c r="F12" s="9" t="s">
        <v>37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8" t="s">
        <v>47</v>
      </c>
      <c r="B13" s="29" t="n">
        <f aca="false">+KN_Westar!F41</f>
        <v>446749.2</v>
      </c>
      <c r="C13" s="27" t="n">
        <f aca="false">+B13/$H$4</f>
        <v>158985.480427046</v>
      </c>
      <c r="D13" s="35" t="n">
        <f aca="false">+KN_Westar!A41</f>
        <v>37130</v>
      </c>
      <c r="E13" s="9" t="s">
        <v>100</v>
      </c>
      <c r="F13" s="9" t="s">
        <v>27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8" t="s">
        <v>72</v>
      </c>
      <c r="B14" s="29" t="n">
        <f aca="false">+C14*$H$4</f>
        <v>423284.35</v>
      </c>
      <c r="C14" s="27" t="n">
        <f aca="false">+Mojave!D40</f>
        <v>150635</v>
      </c>
      <c r="D14" s="35" t="n">
        <f aca="false">+Mojave!A40</f>
        <v>37130</v>
      </c>
      <c r="E14" s="9" t="s">
        <v>99</v>
      </c>
      <c r="F14" s="9" t="s">
        <v>27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8" t="s">
        <v>45</v>
      </c>
      <c r="B15" s="29" t="n">
        <f aca="false">+'Amoco Abo'!$F$43</f>
        <v>420792.42</v>
      </c>
      <c r="C15" s="27" t="n">
        <f aca="false">+B15/$H$4</f>
        <v>149748.192170819</v>
      </c>
      <c r="D15" s="35" t="n">
        <f aca="false">+'Amoco Abo'!A43</f>
        <v>37130</v>
      </c>
      <c r="E15" s="9" t="s">
        <v>100</v>
      </c>
      <c r="F15" s="9" t="s">
        <v>35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8" t="s">
        <v>88</v>
      </c>
      <c r="B16" s="29" t="n">
        <f aca="false">+C16*$H$4</f>
        <v>372600.38</v>
      </c>
      <c r="C16" s="27" t="n">
        <f aca="false">+NGPL!F38</f>
        <v>132598</v>
      </c>
      <c r="D16" s="35" t="n">
        <f aca="false">+NGPL!A38</f>
        <v>37130</v>
      </c>
      <c r="E16" s="9" t="s">
        <v>99</v>
      </c>
      <c r="F16" s="9" t="s">
        <v>35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8" t="s">
        <v>81</v>
      </c>
      <c r="B17" s="80" t="n">
        <f aca="false">+C17*$H$3</f>
        <v>364536.41</v>
      </c>
      <c r="C17" s="81" t="n">
        <f aca="false">+'Red C'!F43</f>
        <v>138607</v>
      </c>
      <c r="D17" s="32" t="n">
        <f aca="false">+'Red C'!B43</f>
        <v>37130</v>
      </c>
      <c r="E17" s="28" t="s">
        <v>99</v>
      </c>
      <c r="F17" s="9" t="s">
        <v>35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8" t="s">
        <v>52</v>
      </c>
      <c r="B18" s="29" t="n">
        <f aca="false">+mewborne!$J$43</f>
        <v>330829.57</v>
      </c>
      <c r="C18" s="27" t="n">
        <f aca="false">+B18/$H$4</f>
        <v>117732.943060498</v>
      </c>
      <c r="D18" s="35" t="n">
        <f aca="false">+mewborne!A43</f>
        <v>37130</v>
      </c>
      <c r="E18" s="9" t="s">
        <v>100</v>
      </c>
      <c r="F18" s="9" t="s">
        <v>23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7" t="s">
        <v>41</v>
      </c>
      <c r="B19" s="29" t="n">
        <f aca="false">+NNG!$D$24</f>
        <v>321556.18</v>
      </c>
      <c r="C19" s="27" t="n">
        <f aca="false">+B19/$H$4</f>
        <v>114432.804270463</v>
      </c>
      <c r="D19" s="32" t="n">
        <f aca="false">+NNG!A24</f>
        <v>37130</v>
      </c>
      <c r="E19" s="28" t="s">
        <v>100</v>
      </c>
      <c r="F19" s="28" t="s">
        <v>27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8" t="s">
        <v>83</v>
      </c>
      <c r="B20" s="29" t="n">
        <f aca="false">+C20*$H$3</f>
        <v>254249.99</v>
      </c>
      <c r="C20" s="27" t="n">
        <f aca="false">+Amoco!D40</f>
        <v>96673</v>
      </c>
      <c r="D20" s="35" t="n">
        <f aca="false">+Amoco!A40</f>
        <v>37130</v>
      </c>
      <c r="E20" s="9" t="s">
        <v>99</v>
      </c>
      <c r="F20" s="9" t="s">
        <v>35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8" t="s">
        <v>48</v>
      </c>
      <c r="B21" s="29" t="n">
        <f aca="false">+DEFS!F53</f>
        <v>247391.85</v>
      </c>
      <c r="C21" s="30" t="n">
        <f aca="false">+B21/$H$4</f>
        <v>88039.8042704625</v>
      </c>
      <c r="D21" s="35" t="n">
        <f aca="false">+DEFS!A40</f>
        <v>37130</v>
      </c>
      <c r="E21" s="9" t="s">
        <v>100</v>
      </c>
      <c r="F21" s="9" t="s">
        <v>27</v>
      </c>
      <c r="G21" s="9" t="s">
        <v>49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8" t="s">
        <v>92</v>
      </c>
      <c r="B22" s="29" t="n">
        <f aca="false">+C22*$H$4</f>
        <v>199706.7</v>
      </c>
      <c r="C22" s="27" t="n">
        <f aca="false">+Lonestar!F42</f>
        <v>71070</v>
      </c>
      <c r="D22" s="32" t="n">
        <f aca="false">+Lonestar!B42</f>
        <v>37130</v>
      </c>
      <c r="E22" s="9" t="s">
        <v>99</v>
      </c>
      <c r="F22" s="9" t="s">
        <v>54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8" t="s">
        <v>86</v>
      </c>
      <c r="B23" s="29" t="n">
        <f aca="false">+C23*$H$3</f>
        <v>189907.04</v>
      </c>
      <c r="C23" s="30" t="n">
        <f aca="false">+NW!$F$41</f>
        <v>72208</v>
      </c>
      <c r="D23" s="32" t="n">
        <f aca="false">+NW!B41</f>
        <v>37130</v>
      </c>
      <c r="E23" s="9" t="s">
        <v>99</v>
      </c>
      <c r="F23" s="9" t="s">
        <v>35</v>
      </c>
      <c r="G23" s="34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8" t="s">
        <v>89</v>
      </c>
      <c r="B24" s="46" t="n">
        <f aca="false">+C24*$H$4</f>
        <v>181219.71</v>
      </c>
      <c r="C24" s="81" t="n">
        <f aca="false">+PEPL!D41</f>
        <v>64491</v>
      </c>
      <c r="D24" s="35" t="n">
        <f aca="false">+PEPL!A41</f>
        <v>37130</v>
      </c>
      <c r="E24" s="9" t="s">
        <v>99</v>
      </c>
      <c r="F24" s="9" t="s">
        <v>27</v>
      </c>
      <c r="G24" s="9" t="s">
        <v>90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8" t="s">
        <v>56</v>
      </c>
      <c r="B25" s="29" t="n">
        <f aca="false">+PNM!$D$23</f>
        <v>134480.49</v>
      </c>
      <c r="C25" s="27" t="n">
        <f aca="false">+B25/$H$4</f>
        <v>47857.8256227758</v>
      </c>
      <c r="D25" s="35" t="n">
        <f aca="false">+PNM!A23</f>
        <v>37130</v>
      </c>
      <c r="E25" s="9" t="s">
        <v>100</v>
      </c>
      <c r="F25" s="9" t="s">
        <v>35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8" t="s">
        <v>91</v>
      </c>
      <c r="B26" s="29" t="n">
        <f aca="false">+C26*$H$4</f>
        <v>122114.17</v>
      </c>
      <c r="C26" s="30" t="n">
        <f aca="false">+Oasis!D40</f>
        <v>43457</v>
      </c>
      <c r="D26" s="35" t="n">
        <f aca="false">+Oasis!B40</f>
        <v>37130</v>
      </c>
      <c r="E26" s="9" t="s">
        <v>99</v>
      </c>
      <c r="F26" s="9" t="s">
        <v>54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8" t="s">
        <v>77</v>
      </c>
      <c r="B27" s="29" t="n">
        <f aca="false">+C27*$H$4</f>
        <v>113543.67</v>
      </c>
      <c r="C27" s="30" t="n">
        <f aca="false">+'PG&amp;E'!D40</f>
        <v>40407</v>
      </c>
      <c r="D27" s="35" t="n">
        <f aca="false">+'PG&amp;E'!A40</f>
        <v>37130</v>
      </c>
      <c r="E27" s="9" t="s">
        <v>99</v>
      </c>
      <c r="F27" s="9" t="s">
        <v>54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8" t="s">
        <v>57</v>
      </c>
      <c r="B28" s="29" t="n">
        <f aca="false">+EOG!J41</f>
        <v>85492.29</v>
      </c>
      <c r="C28" s="27" t="n">
        <f aca="false">+B28/$H$4</f>
        <v>30424.3024911032</v>
      </c>
      <c r="D28" s="32" t="n">
        <f aca="false">+EOG!A41</f>
        <v>37130</v>
      </c>
      <c r="E28" s="9" t="s">
        <v>100</v>
      </c>
      <c r="F28" s="9" t="s">
        <v>54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77" t="s">
        <v>22</v>
      </c>
      <c r="B29" s="29" t="n">
        <f aca="false">+Calpine!D41</f>
        <v>72274.61</v>
      </c>
      <c r="C29" s="30" t="n">
        <f aca="false">+B29/$H$4</f>
        <v>25720.5017793594</v>
      </c>
      <c r="D29" s="32" t="n">
        <f aca="false">+Calpine!A41</f>
        <v>37130</v>
      </c>
      <c r="E29" s="28" t="s">
        <v>100</v>
      </c>
      <c r="F29" s="28" t="s">
        <v>23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77" t="s">
        <v>33</v>
      </c>
      <c r="B30" s="46" t="n">
        <f aca="false">+transcol!$D$43</f>
        <v>29015.68</v>
      </c>
      <c r="C30" s="81" t="n">
        <f aca="false">+B30/$H$4</f>
        <v>10325.8647686833</v>
      </c>
      <c r="D30" s="32" t="n">
        <f aca="false">+transcol!A43</f>
        <v>37130</v>
      </c>
      <c r="E30" s="28" t="s">
        <v>100</v>
      </c>
      <c r="F30" s="28" t="s">
        <v>35</v>
      </c>
      <c r="G30" s="5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3.5" hidden="false" customHeight="true" outlineLevel="0" collapsed="false">
      <c r="A31" s="77" t="s">
        <v>36</v>
      </c>
      <c r="B31" s="29" t="n">
        <f aca="false">+burlington!D42</f>
        <v>8367.82</v>
      </c>
      <c r="C31" s="27" t="n">
        <f aca="false">+B31/$H$3</f>
        <v>3181.68060836502</v>
      </c>
      <c r="D31" s="32" t="n">
        <f aca="false">+burlington!A42</f>
        <v>37130</v>
      </c>
      <c r="E31" s="28" t="s">
        <v>100</v>
      </c>
      <c r="F31" s="9" t="s">
        <v>37</v>
      </c>
      <c r="G31" s="9" t="s">
        <v>38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3.5" hidden="false" customHeight="true" outlineLevel="0" collapsed="false">
      <c r="A32" s="78" t="s">
        <v>102</v>
      </c>
      <c r="B32" s="29" t="n">
        <f aca="false">+'El Paso'!C39*summary!H4+'El Paso'!E39*summary!H3</f>
        <v>7208.58000000002</v>
      </c>
      <c r="C32" s="27" t="n">
        <f aca="false">+'El Paso'!H39</f>
        <v>-1650</v>
      </c>
      <c r="D32" s="35" t="n">
        <f aca="false">+'El Paso'!A39</f>
        <v>37130</v>
      </c>
      <c r="E32" s="9" t="s">
        <v>99</v>
      </c>
      <c r="F32" s="9" t="s">
        <v>27</v>
      </c>
      <c r="G32" s="9" t="s">
        <v>103</v>
      </c>
      <c r="H32" s="28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5" hidden="false" customHeight="true" outlineLevel="0" collapsed="false">
      <c r="A33" s="78" t="s">
        <v>58</v>
      </c>
      <c r="B33" s="36" t="n">
        <f aca="false">+SidR!D41</f>
        <v>5040.2</v>
      </c>
      <c r="C33" s="47" t="n">
        <f aca="false">+B33/$H$4</f>
        <v>1793.66548042705</v>
      </c>
      <c r="D33" s="35" t="n">
        <f aca="false">+SidR!A41</f>
        <v>37130</v>
      </c>
      <c r="E33" s="9" t="s">
        <v>100</v>
      </c>
      <c r="F33" s="9" t="s">
        <v>54</v>
      </c>
      <c r="G33" s="9" t="s">
        <v>104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8" hidden="false" customHeight="true" outlineLevel="0" collapsed="false">
      <c r="A34" s="9" t="s">
        <v>105</v>
      </c>
      <c r="B34" s="16" t="n">
        <f aca="false">SUM(B8:B33)</f>
        <v>7070268.43</v>
      </c>
      <c r="C34" s="27" t="n">
        <f aca="false">SUM(C8:C33)</f>
        <v>2549911.30694288</v>
      </c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9"/>
      <c r="B35" s="16"/>
      <c r="C35" s="27"/>
      <c r="D35" s="33"/>
      <c r="E35" s="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72" t="s">
        <v>12</v>
      </c>
      <c r="B36" s="73" t="s">
        <v>97</v>
      </c>
      <c r="C36" s="74" t="s">
        <v>15</v>
      </c>
      <c r="D36" s="83" t="s">
        <v>17</v>
      </c>
      <c r="E36" s="72" t="s">
        <v>98</v>
      </c>
      <c r="F36" s="76" t="s">
        <v>19</v>
      </c>
      <c r="G36" s="72" t="s">
        <v>20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2.95" hidden="false" customHeight="true" outlineLevel="0" collapsed="false">
      <c r="A37" s="77" t="s">
        <v>29</v>
      </c>
      <c r="B37" s="29" t="n">
        <f aca="false">+Citizens!D18</f>
        <v>-783780.84</v>
      </c>
      <c r="C37" s="30" t="n">
        <f aca="false">+B37/$H$4</f>
        <v>-278925.565836299</v>
      </c>
      <c r="D37" s="32" t="n">
        <f aca="false">+Citizens!A18</f>
        <v>37130</v>
      </c>
      <c r="E37" s="28" t="s">
        <v>100</v>
      </c>
      <c r="F37" s="28" t="s">
        <v>23</v>
      </c>
      <c r="G37" s="34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8" t="s">
        <v>26</v>
      </c>
      <c r="B38" s="29" t="n">
        <f aca="false">+'NS Steel'!D41</f>
        <v>-430861.25</v>
      </c>
      <c r="C38" s="30" t="n">
        <f aca="false">+B38/$H$4</f>
        <v>-153331.40569395</v>
      </c>
      <c r="D38" s="35" t="n">
        <f aca="false">+'NS Steel'!A41</f>
        <v>37130</v>
      </c>
      <c r="E38" s="9" t="s">
        <v>100</v>
      </c>
      <c r="F38" s="9" t="s">
        <v>27</v>
      </c>
      <c r="G38" s="3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78" t="s">
        <v>24</v>
      </c>
      <c r="B39" s="29" t="n">
        <f aca="false">+'Citizens-Griffith'!D41</f>
        <v>-214702.67</v>
      </c>
      <c r="C39" s="27" t="n">
        <f aca="false">+B39/$H$4</f>
        <v>-76406.6441281139</v>
      </c>
      <c r="D39" s="32" t="n">
        <f aca="false">+'Citizens-Griffith'!A41</f>
        <v>37130</v>
      </c>
      <c r="E39" s="9" t="s">
        <v>100</v>
      </c>
      <c r="F39" s="9" t="s">
        <v>23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77" t="s">
        <v>61</v>
      </c>
      <c r="B40" s="29" t="n">
        <f aca="false">+Agave!$D$24</f>
        <v>-147623.11</v>
      </c>
      <c r="C40" s="30" t="n">
        <f aca="false">+B40/$H$4</f>
        <v>-52534.9145907473</v>
      </c>
      <c r="D40" s="32" t="n">
        <f aca="false">+Agave!A24</f>
        <v>37130</v>
      </c>
      <c r="E40" s="28" t="s">
        <v>100</v>
      </c>
      <c r="F40" s="28" t="s">
        <v>54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78" t="s">
        <v>60</v>
      </c>
      <c r="B41" s="29" t="n">
        <f aca="false">+EPFS!D41</f>
        <v>-125590.4</v>
      </c>
      <c r="C41" s="30" t="n">
        <f aca="false">+B41/$H$5</f>
        <v>-43307.0344827586</v>
      </c>
      <c r="D41" s="32" t="n">
        <f aca="false">+EPFS!A41</f>
        <v>37130</v>
      </c>
      <c r="E41" s="9" t="s">
        <v>100</v>
      </c>
      <c r="F41" s="9" t="s">
        <v>54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78" t="s">
        <v>59</v>
      </c>
      <c r="B42" s="36" t="n">
        <f aca="false">+Continental!F43</f>
        <v>-5216.57</v>
      </c>
      <c r="C42" s="37" t="n">
        <f aca="false">+B42/$H$4</f>
        <v>-1856.43060498221</v>
      </c>
      <c r="D42" s="35" t="n">
        <f aca="false">+Continental!A43</f>
        <v>37130</v>
      </c>
      <c r="E42" s="9" t="s">
        <v>100</v>
      </c>
      <c r="F42" s="9" t="s">
        <v>35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106</v>
      </c>
      <c r="B43" s="29" t="n">
        <f aca="false">SUM(B37:B42)</f>
        <v>-1707774.84</v>
      </c>
      <c r="C43" s="30" t="n">
        <f aca="false">SUM(C37:C42)</f>
        <v>-606361.995336851</v>
      </c>
      <c r="D43" s="5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6"/>
      <c r="C44" s="47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107</v>
      </c>
      <c r="B45" s="84" t="n">
        <f aca="false">+B43+B34</f>
        <v>5362493.59</v>
      </c>
      <c r="C45" s="85" t="n">
        <f aca="false">+C43+C34</f>
        <v>1943549.31160603</v>
      </c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7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108</v>
      </c>
      <c r="B47" s="16"/>
      <c r="C47" s="62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7"/>
      <c r="D48" s="33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7"/>
      <c r="D49" s="3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7"/>
      <c r="D50" s="3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7"/>
      <c r="D51" s="3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7"/>
      <c r="D52" s="3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30"/>
      <c r="D53" s="33"/>
      <c r="E53" s="8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7"/>
      <c r="D54" s="3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7"/>
      <c r="D55" s="3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7"/>
      <c r="D56" s="3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7"/>
      <c r="D57" s="33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7"/>
      <c r="D58" s="33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7"/>
      <c r="D59" s="33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7"/>
      <c r="C60" s="88"/>
      <c r="D60" s="33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30"/>
      <c r="C61" s="27"/>
      <c r="D61" s="33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30"/>
      <c r="C62" s="27"/>
      <c r="D62" s="3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30"/>
      <c r="C63" s="27"/>
      <c r="D63" s="3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30"/>
      <c r="C64" s="27"/>
      <c r="D64" s="8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30"/>
      <c r="C65" s="62"/>
      <c r="D65" s="3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30"/>
      <c r="C66" s="62"/>
      <c r="D66" s="90"/>
      <c r="E66" s="9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30"/>
      <c r="C67" s="62"/>
      <c r="D67" s="9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0"/>
      <c r="C68" s="62"/>
      <c r="D68" s="9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0"/>
      <c r="C69" s="62"/>
      <c r="D69" s="93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0"/>
      <c r="C70" s="62"/>
      <c r="D70" s="9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5"/>
      <c r="C71" s="27"/>
      <c r="D71" s="3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5"/>
      <c r="C72" s="27"/>
      <c r="D72" s="8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6"/>
      <c r="C73" s="30"/>
      <c r="D73" s="33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6"/>
      <c r="C74" s="30"/>
      <c r="D74" s="33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5"/>
      <c r="C75" s="30"/>
      <c r="D75" s="8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5"/>
      <c r="C76" s="27"/>
      <c r="D76" s="8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5"/>
      <c r="C77" s="27"/>
      <c r="D77" s="33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7"/>
      <c r="C78" s="64"/>
      <c r="D78" s="3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7"/>
      <c r="D79" s="33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7"/>
      <c r="D80" s="3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7"/>
      <c r="D81" s="3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7"/>
      <c r="D82" s="33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7"/>
      <c r="D83" s="3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7"/>
      <c r="D84" s="33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7"/>
      <c r="D85" s="3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7"/>
      <c r="D86" s="3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7"/>
      <c r="D87" s="3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7"/>
      <c r="D88" s="33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7"/>
      <c r="D89" s="3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7"/>
      <c r="D90" s="33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7"/>
      <c r="D91" s="33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7"/>
      <c r="D92" s="3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7"/>
      <c r="D93" s="33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7"/>
      <c r="D94" s="33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7"/>
      <c r="D95" s="33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7"/>
      <c r="D96" s="3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7"/>
      <c r="D97" s="3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7"/>
      <c r="D98" s="3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7"/>
      <c r="D99" s="3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7"/>
      <c r="D100" s="3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7"/>
      <c r="D101" s="3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7"/>
      <c r="D102" s="3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7"/>
      <c r="D103" s="3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7"/>
      <c r="D104" s="3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7"/>
      <c r="D105" s="3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7"/>
      <c r="D106" s="3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7"/>
      <c r="D107" s="3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7"/>
      <c r="D108" s="33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7"/>
      <c r="D109" s="33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7"/>
      <c r="D110" s="33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7"/>
      <c r="D111" s="33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7"/>
      <c r="D112" s="3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7"/>
      <c r="D113" s="33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7"/>
      <c r="D114" s="33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7"/>
      <c r="D115" s="33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7"/>
      <c r="D116" s="33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7"/>
      <c r="D117" s="3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7"/>
      <c r="D118" s="3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7"/>
      <c r="D119" s="33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7"/>
      <c r="D120" s="33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7"/>
      <c r="D121" s="3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7"/>
      <c r="D122" s="3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7"/>
      <c r="D123" s="33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7"/>
      <c r="D124" s="33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7"/>
      <c r="D125" s="33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7"/>
      <c r="D126" s="33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7"/>
      <c r="D127" s="33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7"/>
      <c r="D128" s="33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7"/>
      <c r="D129" s="33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7"/>
      <c r="D130" s="33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7"/>
      <c r="D131" s="33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7"/>
      <c r="D132" s="33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7"/>
      <c r="D133" s="33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7"/>
      <c r="D134" s="33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7"/>
      <c r="D135" s="33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7"/>
      <c r="D136" s="33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7"/>
      <c r="D137" s="33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7"/>
      <c r="D138" s="33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7"/>
      <c r="D139" s="33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7"/>
      <c r="D140" s="33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7"/>
      <c r="D141" s="33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7"/>
      <c r="D142" s="33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7"/>
      <c r="D143" s="33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7"/>
      <c r="D144" s="33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7"/>
      <c r="D145" s="33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7"/>
      <c r="D146" s="33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7"/>
      <c r="D147" s="33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7"/>
      <c r="D148" s="33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7"/>
      <c r="D149" s="33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7"/>
      <c r="D150" s="33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7"/>
      <c r="D151" s="33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7"/>
      <c r="D152" s="33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7"/>
      <c r="D153" s="33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7"/>
      <c r="D154" s="33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7"/>
      <c r="D155" s="33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7"/>
      <c r="D156" s="33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7"/>
      <c r="D157" s="33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7"/>
      <c r="D158" s="33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7"/>
      <c r="D159" s="33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7"/>
      <c r="D160" s="33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7"/>
      <c r="D161" s="33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7"/>
      <c r="D162" s="33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7"/>
      <c r="D163" s="33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7"/>
      <c r="D164" s="33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7"/>
      <c r="D165" s="33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7"/>
      <c r="D166" s="33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7"/>
      <c r="D167" s="33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7"/>
      <c r="D168" s="33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7"/>
      <c r="D169" s="33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7"/>
      <c r="D170" s="33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7"/>
      <c r="D171" s="33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7"/>
      <c r="D172" s="33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7"/>
      <c r="D173" s="33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7"/>
      <c r="D174" s="33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7"/>
      <c r="D175" s="33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7"/>
      <c r="D176" s="33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7"/>
      <c r="D177" s="33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7"/>
      <c r="D178" s="33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7"/>
      <c r="D179" s="33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7"/>
      <c r="D180" s="33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7"/>
      <c r="D181" s="33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7"/>
      <c r="D182" s="33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7"/>
      <c r="D183" s="33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7"/>
      <c r="D184" s="33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7"/>
      <c r="D185" s="33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7"/>
      <c r="D186" s="33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7"/>
      <c r="D187" s="33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7"/>
      <c r="D188" s="33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7"/>
      <c r="D189" s="33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7"/>
      <c r="D190" s="33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7"/>
      <c r="D191" s="33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7"/>
      <c r="D192" s="33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7"/>
      <c r="D193" s="33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7"/>
      <c r="D194" s="33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7"/>
      <c r="D195" s="33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7"/>
      <c r="D196" s="33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7"/>
      <c r="D197" s="33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7"/>
      <c r="D198" s="33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7"/>
      <c r="D199" s="33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7"/>
      <c r="D200" s="33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7"/>
      <c r="D201" s="33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7"/>
      <c r="D202" s="33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7"/>
      <c r="D203" s="33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7"/>
      <c r="D204" s="33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7"/>
      <c r="D205" s="33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7"/>
      <c r="D206" s="33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7"/>
      <c r="D207" s="33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7"/>
      <c r="D208" s="33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7"/>
      <c r="D209" s="33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7"/>
      <c r="D210" s="33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7"/>
      <c r="D211" s="33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7"/>
      <c r="D212" s="33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7"/>
      <c r="D213" s="33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7"/>
      <c r="D214" s="33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7"/>
      <c r="D215" s="33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7"/>
      <c r="D216" s="33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7"/>
      <c r="D217" s="33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7"/>
      <c r="D218" s="33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7"/>
      <c r="D219" s="33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7"/>
      <c r="D220" s="33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7"/>
      <c r="D221" s="33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7"/>
      <c r="D222" s="33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7"/>
      <c r="D223" s="33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7"/>
      <c r="D224" s="33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7"/>
      <c r="D225" s="33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7"/>
      <c r="D226" s="33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7"/>
      <c r="D227" s="33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7"/>
      <c r="D228" s="33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7"/>
      <c r="D229" s="33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7"/>
      <c r="D230" s="33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7"/>
      <c r="D231" s="33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7"/>
      <c r="D232" s="33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7"/>
      <c r="D233" s="33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7"/>
      <c r="D234" s="33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7"/>
      <c r="D235" s="33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7"/>
      <c r="D236" s="33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7"/>
      <c r="D237" s="33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7"/>
      <c r="D238" s="33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7"/>
      <c r="D239" s="33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7"/>
      <c r="D240" s="33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7"/>
      <c r="D241" s="33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7"/>
      <c r="D242" s="33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7"/>
      <c r="D243" s="33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7"/>
      <c r="D244" s="33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7"/>
      <c r="D245" s="33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7"/>
      <c r="D246" s="33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7"/>
      <c r="D247" s="33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7"/>
      <c r="D248" s="33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7"/>
      <c r="D249" s="33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7"/>
      <c r="D250" s="33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7"/>
      <c r="D251" s="33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7"/>
      <c r="D252" s="33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7"/>
      <c r="D253" s="33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7"/>
      <c r="D254" s="33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7"/>
      <c r="D255" s="33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7"/>
      <c r="D256" s="33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7"/>
      <c r="D257" s="33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7"/>
      <c r="D258" s="33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7"/>
      <c r="D259" s="33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7"/>
      <c r="D260" s="33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7"/>
      <c r="D261" s="33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7"/>
      <c r="D262" s="33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7"/>
      <c r="D263" s="33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7"/>
      <c r="D264" s="33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7"/>
      <c r="D265" s="33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7"/>
      <c r="D266" s="33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7"/>
      <c r="D267" s="33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7"/>
      <c r="D268" s="33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7"/>
      <c r="D269" s="33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7"/>
      <c r="D270" s="33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7"/>
      <c r="D271" s="33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7"/>
      <c r="D272" s="33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7"/>
      <c r="D273" s="33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7"/>
      <c r="D274" s="33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7"/>
      <c r="D275" s="33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7"/>
      <c r="D276" s="33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7"/>
      <c r="D277" s="33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7"/>
      <c r="D278" s="33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7"/>
      <c r="D279" s="33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7"/>
      <c r="D280" s="33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7"/>
      <c r="D281" s="33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7"/>
      <c r="D282" s="33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7"/>
      <c r="D283" s="33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7"/>
      <c r="D284" s="33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7"/>
      <c r="D285" s="33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7"/>
      <c r="D286" s="33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7"/>
      <c r="D287" s="33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7"/>
      <c r="D288" s="33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7"/>
      <c r="D289" s="33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7"/>
      <c r="D290" s="33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7"/>
      <c r="D291" s="33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7"/>
      <c r="D292" s="33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7"/>
      <c r="D293" s="33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7"/>
      <c r="D294" s="33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7"/>
      <c r="D295" s="33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7"/>
      <c r="D296" s="33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7"/>
      <c r="D297" s="33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7"/>
      <c r="D298" s="33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7"/>
      <c r="D299" s="33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7"/>
      <c r="D300" s="33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7"/>
      <c r="D301" s="33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7"/>
      <c r="D302" s="33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7"/>
      <c r="D303" s="33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7"/>
      <c r="D304" s="33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7"/>
      <c r="D305" s="33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7"/>
      <c r="D306" s="33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7"/>
      <c r="D307" s="33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7"/>
      <c r="D308" s="33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7"/>
      <c r="D309" s="33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7"/>
      <c r="D310" s="33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7"/>
      <c r="D311" s="33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7"/>
      <c r="D312" s="33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7"/>
      <c r="D313" s="33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7"/>
      <c r="D314" s="33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7"/>
      <c r="D315" s="33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7"/>
      <c r="D316" s="33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7"/>
      <c r="D317" s="33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7"/>
      <c r="D318" s="33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7"/>
      <c r="D319" s="33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7"/>
      <c r="D320" s="33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7"/>
      <c r="D321" s="33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7"/>
      <c r="D322" s="33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7"/>
      <c r="D323" s="33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7"/>
      <c r="D324" s="33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7"/>
      <c r="D325" s="33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7"/>
      <c r="D326" s="33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7"/>
      <c r="D327" s="33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7"/>
      <c r="D328" s="33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7"/>
      <c r="D329" s="33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7"/>
      <c r="D330" s="33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7"/>
      <c r="D331" s="33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7"/>
      <c r="D332" s="33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7"/>
      <c r="D333" s="33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7"/>
      <c r="D334" s="33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7"/>
      <c r="D335" s="33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7"/>
      <c r="D336" s="33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7"/>
      <c r="D337" s="33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7"/>
      <c r="D338" s="33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7"/>
      <c r="D339" s="33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7"/>
      <c r="D340" s="33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7"/>
      <c r="D341" s="33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7"/>
      <c r="D342" s="33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7"/>
      <c r="D343" s="33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7"/>
      <c r="D344" s="33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7"/>
      <c r="D345" s="33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7"/>
      <c r="D346" s="33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7"/>
      <c r="D347" s="33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7"/>
      <c r="D348" s="33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7"/>
      <c r="D349" s="33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7"/>
      <c r="D350" s="33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7"/>
      <c r="D351" s="33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7"/>
      <c r="D352" s="33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7"/>
      <c r="D353" s="33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7"/>
      <c r="D354" s="33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7"/>
      <c r="D355" s="33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7"/>
      <c r="D356" s="33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3" sqref="B7 C10 A23 B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7"/>
      <c r="C4" s="362"/>
      <c r="D4" s="27"/>
    </row>
    <row r="5" customFormat="false" ht="11.25" hidden="false" customHeight="false" outlineLevel="0" collapsed="false">
      <c r="B5" s="363" t="s">
        <v>114</v>
      </c>
      <c r="C5" s="363" t="s">
        <v>115</v>
      </c>
      <c r="D5" s="364" t="s">
        <v>117</v>
      </c>
    </row>
    <row r="6" customFormat="false" ht="11.25" hidden="false" customHeight="false" outlineLevel="0" collapsed="false">
      <c r="A6" s="9" t="n">
        <v>1635</v>
      </c>
      <c r="B6" s="365" t="n">
        <v>-1797</v>
      </c>
      <c r="C6" s="27"/>
      <c r="D6" s="27" t="n">
        <f aca="false">+C6-B6</f>
        <v>1797</v>
      </c>
    </row>
    <row r="7" customFormat="false" ht="11.25" hidden="false" customHeight="false" outlineLevel="0" collapsed="false">
      <c r="A7" s="9" t="n">
        <v>3531</v>
      </c>
      <c r="B7" s="366" t="n">
        <v>-730731</v>
      </c>
      <c r="C7" s="27" t="n">
        <v>-361829</v>
      </c>
      <c r="D7" s="27" t="n">
        <f aca="false">+C7-B7</f>
        <v>368902</v>
      </c>
    </row>
    <row r="8" customFormat="false" ht="11.25" hidden="false" customHeight="false" outlineLevel="0" collapsed="false">
      <c r="A8" s="9" t="n">
        <v>60667</v>
      </c>
      <c r="B8" s="366" t="n">
        <v>-451202</v>
      </c>
      <c r="C8" s="27"/>
      <c r="D8" s="27" t="n">
        <f aca="false">+C8-B8</f>
        <v>451202</v>
      </c>
      <c r="H8" s="202"/>
    </row>
    <row r="9" customFormat="false" ht="11.25" hidden="false" customHeight="false" outlineLevel="0" collapsed="false">
      <c r="A9" s="9" t="n">
        <v>60749</v>
      </c>
      <c r="B9" s="366" t="n">
        <v>1117917</v>
      </c>
      <c r="C9" s="27" t="n">
        <v>134758</v>
      </c>
      <c r="D9" s="27" t="n">
        <f aca="false">+C9-B9</f>
        <v>-983159</v>
      </c>
      <c r="H9" s="202"/>
    </row>
    <row r="10" customFormat="false" ht="11.25" hidden="false" customHeight="false" outlineLevel="0" collapsed="false">
      <c r="A10" s="9" t="n">
        <v>61206</v>
      </c>
      <c r="B10" s="27"/>
      <c r="C10" s="27"/>
      <c r="D10" s="27" t="n">
        <f aca="false">+C10-B10</f>
        <v>0</v>
      </c>
      <c r="H10" s="202"/>
    </row>
    <row r="11" customFormat="false" ht="11.25" hidden="false" customHeight="false" outlineLevel="0" collapsed="false">
      <c r="A11" s="9" t="n">
        <v>61334</v>
      </c>
      <c r="B11" s="366" t="n">
        <v>-25143</v>
      </c>
      <c r="C11" s="27"/>
      <c r="D11" s="27" t="n">
        <f aca="false">+C11-B11</f>
        <v>25143</v>
      </c>
      <c r="H11" s="202"/>
    </row>
    <row r="12" customFormat="false" ht="11.25" hidden="false" customHeight="false" outlineLevel="0" collapsed="false">
      <c r="A12" s="9" t="n">
        <v>62960</v>
      </c>
      <c r="B12" s="366"/>
      <c r="C12" s="27"/>
      <c r="D12" s="27" t="n">
        <f aca="false">+C12-B12</f>
        <v>0</v>
      </c>
      <c r="H12" s="202"/>
    </row>
    <row r="13" customFormat="false" ht="11.25" hidden="false" customHeight="false" outlineLevel="0" collapsed="false">
      <c r="A13" s="367"/>
      <c r="B13" s="27"/>
      <c r="C13" s="27"/>
      <c r="D13" s="27" t="n">
        <f aca="false">+C13-B13</f>
        <v>0</v>
      </c>
      <c r="H13" s="202"/>
    </row>
    <row r="14" customFormat="false" ht="11.25" hidden="false" customHeight="false" outlineLevel="0" collapsed="false">
      <c r="B14" s="27"/>
      <c r="C14" s="27"/>
      <c r="D14" s="27" t="n">
        <f aca="false">+C14-B14</f>
        <v>0</v>
      </c>
      <c r="H14" s="202"/>
    </row>
    <row r="15" customFormat="false" ht="11.25" hidden="false" customHeight="false" outlineLevel="0" collapsed="false">
      <c r="B15" s="27"/>
      <c r="C15" s="27"/>
      <c r="D15" s="27"/>
    </row>
    <row r="16" customFormat="false" ht="11.25" hidden="false" customHeight="false" outlineLevel="0" collapsed="false">
      <c r="B16" s="27"/>
      <c r="C16" s="27"/>
      <c r="D16" s="27"/>
    </row>
    <row r="17" customFormat="false" ht="11.25" hidden="false" customHeight="false" outlineLevel="0" collapsed="false">
      <c r="B17" s="27"/>
      <c r="C17" s="27"/>
      <c r="D17" s="47"/>
    </row>
    <row r="18" customFormat="false" ht="11.25" hidden="false" customHeight="false" outlineLevel="0" collapsed="false">
      <c r="B18" s="27"/>
      <c r="C18" s="27"/>
      <c r="D18" s="27" t="n">
        <f aca="false">SUM(D6:D17)</f>
        <v>-136115</v>
      </c>
    </row>
    <row r="19" customFormat="false" ht="11.25" hidden="false" customHeight="false" outlineLevel="0" collapsed="false">
      <c r="A19" s="9" t="s">
        <v>166</v>
      </c>
      <c r="B19" s="27"/>
      <c r="C19" s="27"/>
      <c r="D19" s="302" t="n">
        <f aca="false">+summary!H4</f>
        <v>2.81</v>
      </c>
    </row>
    <row r="20" customFormat="false" ht="11.25" hidden="false" customHeight="false" outlineLevel="0" collapsed="false">
      <c r="B20" s="27"/>
      <c r="C20" s="27"/>
      <c r="D20" s="111" t="n">
        <f aca="false">+D19*D18</f>
        <v>-382483.15</v>
      </c>
    </row>
    <row r="21" customFormat="false" ht="11.25" hidden="false" customHeight="false" outlineLevel="0" collapsed="false">
      <c r="B21" s="27"/>
      <c r="C21" s="27"/>
      <c r="D21" s="111"/>
      <c r="E21" s="202"/>
    </row>
    <row r="22" customFormat="false" ht="11.25" hidden="false" customHeight="false" outlineLevel="0" collapsed="false">
      <c r="A22" s="124" t="n">
        <v>37103</v>
      </c>
      <c r="B22" s="27"/>
      <c r="C22" s="27"/>
      <c r="D22" s="368" t="n">
        <v>704039.33</v>
      </c>
      <c r="E22" s="202"/>
    </row>
    <row r="23" customFormat="false" ht="11.25" hidden="false" customHeight="false" outlineLevel="0" collapsed="false">
      <c r="B23" s="27"/>
      <c r="C23" s="27"/>
      <c r="D23" s="111"/>
      <c r="E23" s="202"/>
    </row>
    <row r="24" customFormat="false" ht="12" hidden="false" customHeight="false" outlineLevel="0" collapsed="false">
      <c r="A24" s="124" t="n">
        <v>37130</v>
      </c>
      <c r="B24" s="27"/>
      <c r="C24" s="27"/>
      <c r="D24" s="369" t="n">
        <f aca="false">+D22+D20</f>
        <v>321556.18</v>
      </c>
      <c r="E24" s="202"/>
    </row>
    <row r="25" customFormat="false" ht="12" hidden="false" customHeight="false" outlineLevel="0" collapsed="false">
      <c r="B25" s="27"/>
      <c r="C25" s="27"/>
      <c r="D25" s="27"/>
      <c r="E25" s="202"/>
    </row>
    <row r="31" customFormat="false" ht="11.25" hidden="false" customHeight="false" outlineLevel="0" collapsed="false">
      <c r="A31" s="9" t="s">
        <v>125</v>
      </c>
    </row>
    <row r="32" customFormat="false" ht="11.25" hidden="false" customHeight="false" outlineLevel="0" collapsed="false">
      <c r="A32" s="124" t="n">
        <f aca="false">+A22</f>
        <v>37103</v>
      </c>
      <c r="D32" s="301" t="n">
        <v>80036</v>
      </c>
    </row>
    <row r="33" customFormat="false" ht="11.25" hidden="false" customHeight="false" outlineLevel="0" collapsed="false">
      <c r="A33" s="124" t="n">
        <f aca="false">+A24</f>
        <v>37130</v>
      </c>
      <c r="D33" s="37" t="n">
        <f aca="false">+D18</f>
        <v>-136115</v>
      </c>
    </row>
    <row r="34" customFormat="false" ht="11.25" hidden="false" customHeight="false" outlineLevel="0" collapsed="false">
      <c r="D34" s="30" t="n">
        <f aca="false">+D33+D32</f>
        <v>-56079</v>
      </c>
    </row>
    <row r="35" customFormat="false" ht="11.25" hidden="false" customHeight="false" outlineLevel="0" collapsed="false">
      <c r="D35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6" activeCellId="3" sqref="B13 B13 B5 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189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114</v>
      </c>
      <c r="C4" s="283" t="s">
        <v>115</v>
      </c>
      <c r="D4" s="284" t="s">
        <v>117</v>
      </c>
    </row>
    <row r="5" customFormat="false" ht="12.75" hidden="false" customHeight="false" outlineLevel="0" collapsed="false">
      <c r="A5" s="282" t="n">
        <v>9236</v>
      </c>
      <c r="B5" s="370" t="n">
        <v>-55843</v>
      </c>
      <c r="C5" s="280" t="n">
        <v>-31330</v>
      </c>
      <c r="D5" s="280" t="n">
        <f aca="false">+C5-B5</f>
        <v>24513</v>
      </c>
      <c r="E5" s="27"/>
      <c r="F5" s="31"/>
    </row>
    <row r="6" customFormat="false" ht="12.75" hidden="false" customHeight="false" outlineLevel="0" collapsed="false">
      <c r="A6" s="282" t="n">
        <v>9238</v>
      </c>
      <c r="B6" s="287"/>
      <c r="C6" s="280"/>
      <c r="D6" s="280" t="n">
        <f aca="false">+C6-B6</f>
        <v>0</v>
      </c>
      <c r="E6" s="27"/>
      <c r="F6" s="31"/>
      <c r="K6" s="286" t="n">
        <v>36531</v>
      </c>
      <c r="L6" s="0" t="s">
        <v>164</v>
      </c>
      <c r="M6" s="0" t="n">
        <v>0.5</v>
      </c>
    </row>
    <row r="7" customFormat="false" ht="12.75" hidden="false" customHeight="false" outlineLevel="0" collapsed="false">
      <c r="A7" s="282" t="n">
        <v>56422</v>
      </c>
      <c r="B7" s="370" t="n">
        <v>-3069632</v>
      </c>
      <c r="C7" s="280" t="n">
        <v>-3154103</v>
      </c>
      <c r="D7" s="280" t="n">
        <f aca="false">+C7-B7</f>
        <v>-84471</v>
      </c>
      <c r="E7" s="27"/>
      <c r="F7" s="31"/>
    </row>
    <row r="8" customFormat="false" ht="12.75" hidden="false" customHeight="false" outlineLevel="0" collapsed="false">
      <c r="A8" s="282" t="n">
        <v>58710</v>
      </c>
      <c r="B8" s="370" t="n">
        <v>-22709</v>
      </c>
      <c r="C8" s="280" t="n">
        <v>-1181</v>
      </c>
      <c r="D8" s="280" t="n">
        <f aca="false">+C8-B8</f>
        <v>21528</v>
      </c>
      <c r="E8" s="27"/>
      <c r="F8" s="31"/>
    </row>
    <row r="9" customFormat="false" ht="12.75" hidden="false" customHeight="false" outlineLevel="0" collapsed="false">
      <c r="A9" s="282" t="n">
        <v>60921</v>
      </c>
      <c r="B9" s="287" t="n">
        <v>2687795</v>
      </c>
      <c r="C9" s="280" t="n">
        <v>2610405</v>
      </c>
      <c r="D9" s="280" t="n">
        <f aca="false">+C9-B9</f>
        <v>-77390</v>
      </c>
      <c r="E9" s="27"/>
      <c r="F9" s="31"/>
    </row>
    <row r="10" customFormat="false" ht="12.75" hidden="false" customHeight="false" outlineLevel="0" collapsed="false">
      <c r="A10" s="282" t="n">
        <v>78026</v>
      </c>
      <c r="B10" s="370"/>
      <c r="C10" s="280" t="n">
        <v>64200</v>
      </c>
      <c r="D10" s="280" t="n">
        <f aca="false">+C10-B10</f>
        <v>64200</v>
      </c>
      <c r="E10" s="27"/>
      <c r="F10" s="285"/>
    </row>
    <row r="11" customFormat="false" ht="12.75" hidden="false" customHeight="false" outlineLevel="0" collapsed="false">
      <c r="A11" s="282" t="n">
        <v>500084</v>
      </c>
      <c r="B11" s="370" t="n">
        <v>-20590</v>
      </c>
      <c r="C11" s="280" t="n">
        <v>-27000</v>
      </c>
      <c r="D11" s="280" t="n">
        <f aca="false">+C11-B11</f>
        <v>-6410</v>
      </c>
      <c r="E11" s="289"/>
      <c r="F11" s="285"/>
    </row>
    <row r="12" customFormat="false" ht="12.75" hidden="false" customHeight="false" outlineLevel="0" collapsed="false">
      <c r="A12" s="371" t="n">
        <v>500085</v>
      </c>
      <c r="B12" s="370"/>
      <c r="C12" s="280"/>
      <c r="D12" s="280" t="n">
        <f aca="false">+C12-B12</f>
        <v>0</v>
      </c>
      <c r="E12" s="27"/>
      <c r="F12" s="285"/>
    </row>
    <row r="13" customFormat="false" ht="12.75" hidden="false" customHeight="false" outlineLevel="0" collapsed="false">
      <c r="A13" s="282" t="n">
        <v>500097</v>
      </c>
      <c r="B13" s="372" t="n">
        <v>-272</v>
      </c>
      <c r="C13" s="280"/>
      <c r="D13" s="280" t="n">
        <f aca="false">+C13-B13</f>
        <v>272</v>
      </c>
      <c r="E13" s="27"/>
      <c r="F13" s="285"/>
    </row>
    <row r="14" customFormat="false" ht="12.75" hidden="false" customHeight="false" outlineLevel="0" collapsed="false">
      <c r="A14" s="282"/>
      <c r="B14" s="280"/>
      <c r="C14" s="280"/>
      <c r="D14" s="280"/>
      <c r="E14" s="27"/>
      <c r="F14" s="285"/>
    </row>
    <row r="15" customFormat="false" ht="12.75" hidden="false" customHeight="false" outlineLevel="0" collapsed="false">
      <c r="A15" s="282"/>
      <c r="B15" s="280"/>
      <c r="C15" s="280"/>
      <c r="D15" s="280"/>
      <c r="E15" s="27"/>
      <c r="F15" s="285"/>
    </row>
    <row r="16" customFormat="false" ht="12.75" hidden="false" customHeight="false" outlineLevel="0" collapsed="false">
      <c r="A16" s="282"/>
      <c r="B16" s="280"/>
      <c r="C16" s="280"/>
      <c r="D16" s="291"/>
      <c r="E16" s="27"/>
      <c r="F16" s="285"/>
    </row>
    <row r="17" customFormat="false" ht="12.75" hidden="false" customHeight="false" outlineLevel="0" collapsed="false">
      <c r="A17" s="282"/>
      <c r="B17" s="280"/>
      <c r="C17" s="280"/>
      <c r="D17" s="280" t="n">
        <f aca="false">SUM(D5:D16)</f>
        <v>-57758</v>
      </c>
      <c r="E17" s="27"/>
      <c r="F17" s="285"/>
    </row>
    <row r="18" customFormat="false" ht="12.75" hidden="false" customHeight="false" outlineLevel="0" collapsed="false">
      <c r="A18" s="282" t="s">
        <v>166</v>
      </c>
      <c r="B18" s="280"/>
      <c r="C18" s="280"/>
      <c r="D18" s="292" t="n">
        <f aca="false">+summary!H4</f>
        <v>2.81</v>
      </c>
      <c r="E18" s="293"/>
      <c r="F18" s="285"/>
    </row>
    <row r="19" customFormat="false" ht="12.75" hidden="false" customHeight="false" outlineLevel="0" collapsed="false">
      <c r="A19" s="282"/>
      <c r="B19" s="280"/>
      <c r="C19" s="280"/>
      <c r="D19" s="294" t="n">
        <f aca="false">+D18*D17</f>
        <v>-162299.98</v>
      </c>
      <c r="E19" s="111"/>
      <c r="F19" s="295"/>
    </row>
    <row r="20" customFormat="false" ht="12.75" hidden="false" customHeight="false" outlineLevel="0" collapsed="false">
      <c r="A20" s="282"/>
      <c r="B20" s="280"/>
      <c r="C20" s="280"/>
      <c r="D20" s="294"/>
      <c r="E20" s="111"/>
      <c r="F20" s="295"/>
    </row>
    <row r="21" customFormat="false" ht="12.75" hidden="false" customHeight="false" outlineLevel="0" collapsed="false">
      <c r="A21" s="296" t="n">
        <v>37103</v>
      </c>
      <c r="B21" s="280"/>
      <c r="C21" s="280"/>
      <c r="D21" s="297" t="n">
        <v>296780.47</v>
      </c>
      <c r="E21" s="111"/>
      <c r="F21" s="298"/>
    </row>
    <row r="22" customFormat="false" ht="12.75" hidden="false" customHeight="false" outlineLevel="0" collapsed="false">
      <c r="A22" s="282"/>
      <c r="B22" s="280"/>
      <c r="C22" s="280"/>
      <c r="D22" s="294"/>
      <c r="E22" s="111"/>
      <c r="F22" s="298"/>
    </row>
    <row r="23" customFormat="false" ht="13.5" hidden="false" customHeight="false" outlineLevel="0" collapsed="false">
      <c r="A23" s="296" t="n">
        <v>37130</v>
      </c>
      <c r="B23" s="280"/>
      <c r="C23" s="280"/>
      <c r="D23" s="299" t="n">
        <f aca="false">+D21+D19</f>
        <v>134480.49</v>
      </c>
      <c r="E23" s="111"/>
      <c r="F23" s="298"/>
    </row>
    <row r="24" customFormat="false" ht="13.5" hidden="false" customHeight="false" outlineLevel="0" collapsed="false">
      <c r="E24" s="300"/>
    </row>
    <row r="25" customFormat="false" ht="12.75" hidden="false" customHeight="false" outlineLevel="0" collapsed="false">
      <c r="E25" s="300"/>
    </row>
    <row r="27" customFormat="false" ht="12.75" hidden="false" customHeight="false" outlineLevel="0" collapsed="false">
      <c r="A27" s="9" t="s">
        <v>125</v>
      </c>
      <c r="B27" s="9"/>
      <c r="C27" s="9"/>
      <c r="D27" s="9"/>
    </row>
    <row r="28" customFormat="false" ht="12.75" hidden="false" customHeight="false" outlineLevel="0" collapsed="false">
      <c r="A28" s="124" t="n">
        <f aca="false">+A21</f>
        <v>37103</v>
      </c>
      <c r="B28" s="9"/>
      <c r="C28" s="9"/>
      <c r="D28" s="301" t="n">
        <v>67620</v>
      </c>
    </row>
    <row r="29" customFormat="false" ht="12.75" hidden="false" customHeight="false" outlineLevel="0" collapsed="false">
      <c r="A29" s="124" t="n">
        <v>37114</v>
      </c>
      <c r="B29" s="9"/>
      <c r="C29" s="9"/>
      <c r="D29" s="37" t="n">
        <f aca="false">+D17</f>
        <v>-57758</v>
      </c>
    </row>
    <row r="30" customFormat="false" ht="12.75" hidden="false" customHeight="false" outlineLevel="0" collapsed="false">
      <c r="A30" s="9"/>
      <c r="B30" s="9"/>
      <c r="C30" s="9"/>
      <c r="D30" s="30" t="n">
        <f aca="false">+D29+D28</f>
        <v>9862</v>
      </c>
    </row>
    <row r="31" customFormat="false" ht="12.75" hidden="false" customHeight="false" outlineLevel="0" collapsed="false">
      <c r="A31" s="127"/>
      <c r="B31" s="128"/>
      <c r="C31" s="129"/>
      <c r="D31" s="129"/>
    </row>
    <row r="32" customFormat="false" ht="12.75" hidden="false" customHeight="false" outlineLevel="0" collapsed="false">
      <c r="B32" s="27"/>
      <c r="C32" s="27"/>
      <c r="D32" s="27"/>
      <c r="E32" s="31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62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62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62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62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62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62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62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62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62"/>
      <c r="E44" s="27"/>
      <c r="F44" s="285"/>
      <c r="G44" s="28"/>
    </row>
    <row r="45" customFormat="false" ht="12.75" hidden="false" customHeight="false" outlineLevel="0" collapsed="false">
      <c r="B45" s="27"/>
      <c r="C45" s="27"/>
      <c r="D45" s="62"/>
      <c r="E45" s="27"/>
      <c r="F45" s="285"/>
      <c r="G45" s="28"/>
    </row>
    <row r="46" customFormat="false" ht="12.75" hidden="false" customHeight="false" outlineLevel="0" collapsed="false">
      <c r="A46" s="9"/>
      <c r="B46" s="27"/>
      <c r="C46" s="27"/>
      <c r="D46" s="27"/>
      <c r="E46" s="27"/>
      <c r="F46" s="285"/>
      <c r="G46" s="28"/>
    </row>
    <row r="47" customFormat="false" ht="12.75" hidden="false" customHeight="false" outlineLevel="0" collapsed="false">
      <c r="A47" s="9"/>
      <c r="B47" s="27"/>
      <c r="C47" s="27"/>
      <c r="D47" s="293"/>
      <c r="E47" s="293"/>
      <c r="F47" s="285"/>
      <c r="G47" s="28"/>
    </row>
    <row r="48" customFormat="false" ht="12.75" hidden="false" customHeight="false" outlineLevel="0" collapsed="false">
      <c r="B48" s="27"/>
      <c r="C48" s="27"/>
      <c r="D48" s="27"/>
      <c r="E48" s="27"/>
      <c r="F48" s="295"/>
      <c r="G48" s="28"/>
    </row>
    <row r="49" customFormat="false" ht="12.75" hidden="false" customHeight="false" outlineLevel="0" collapsed="false">
      <c r="B49" s="27"/>
      <c r="C49" s="27"/>
      <c r="D49" s="27"/>
      <c r="E49" s="27"/>
      <c r="F49" s="295"/>
      <c r="G49" s="28"/>
    </row>
    <row r="50" customFormat="false" ht="12.75" hidden="false" customHeight="false" outlineLevel="0" collapsed="false">
      <c r="E50" s="3"/>
      <c r="F50" s="298"/>
      <c r="G50" s="59"/>
    </row>
    <row r="51" customFormat="false" ht="12.75" hidden="false" customHeight="false" outlineLevel="0" collapsed="false">
      <c r="A51" s="9"/>
      <c r="E51" s="3"/>
      <c r="F51" s="298"/>
    </row>
    <row r="52" customFormat="false" ht="12.75" hidden="false" customHeight="false" outlineLevel="0" collapsed="false">
      <c r="A52" s="9"/>
      <c r="E52" s="3"/>
      <c r="F52" s="298"/>
    </row>
    <row r="53" customFormat="false" ht="12.75" hidden="false" customHeight="false" outlineLevel="0" collapsed="false">
      <c r="A53" s="9"/>
      <c r="E53" s="3"/>
      <c r="F53" s="298"/>
    </row>
    <row r="54" customFormat="false" ht="12.75" hidden="false" customHeight="false" outlineLevel="0" collapsed="false">
      <c r="A54" s="9"/>
      <c r="E54" s="3"/>
      <c r="F54" s="298"/>
    </row>
    <row r="55" customFormat="false" ht="12.75" hidden="false" customHeight="false" outlineLevel="0" collapsed="false">
      <c r="A55" s="9"/>
      <c r="E55" s="300"/>
      <c r="F55" s="300"/>
    </row>
    <row r="56" customFormat="false" ht="12.75" hidden="false" customHeight="false" outlineLevel="0" collapsed="false">
      <c r="E56" s="300"/>
      <c r="F56" s="300"/>
    </row>
    <row r="57" customFormat="false" ht="12.75" hidden="false" customHeight="false" outlineLevel="0" collapsed="false">
      <c r="E57" s="300"/>
      <c r="F57" s="300"/>
    </row>
    <row r="82" customFormat="false" ht="12.75" hidden="false" customHeight="false" outlineLevel="0" collapsed="false">
      <c r="B82" s="27"/>
      <c r="C82" s="27"/>
      <c r="D82" s="27"/>
      <c r="E82" s="31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47"/>
      <c r="E95" s="47"/>
      <c r="F95" s="38"/>
    </row>
    <row r="96" customFormat="false" ht="12.75" hidden="false" customHeight="false" outlineLevel="0" collapsed="false">
      <c r="A96" s="9"/>
      <c r="B96" s="27"/>
      <c r="C96" s="27"/>
      <c r="D96" s="27"/>
      <c r="E96" s="27"/>
      <c r="F96" s="31"/>
    </row>
    <row r="97" customFormat="false" ht="12.75" hidden="false" customHeight="false" outlineLevel="0" collapsed="false">
      <c r="A97" s="9"/>
      <c r="B97" s="27"/>
      <c r="C97" s="27"/>
      <c r="D97" s="302"/>
      <c r="E97" s="302"/>
      <c r="F97" s="31"/>
    </row>
    <row r="98" customFormat="false" ht="12.75" hidden="false" customHeight="false" outlineLevel="0" collapsed="false">
      <c r="B98" s="27"/>
      <c r="C98" s="27"/>
      <c r="D98" s="27"/>
      <c r="E98" s="27"/>
      <c r="F98" s="295"/>
    </row>
    <row r="99" customFormat="false" ht="12.75" hidden="false" customHeight="false" outlineLevel="0" collapsed="false">
      <c r="B99" s="27"/>
      <c r="C99" s="27"/>
      <c r="D99" s="27"/>
      <c r="E99" s="27"/>
      <c r="F99" s="295"/>
    </row>
    <row r="100" customFormat="false" ht="12.75" hidden="false" customHeight="false" outlineLevel="0" collapsed="false">
      <c r="A100" s="9"/>
      <c r="D100" s="303"/>
      <c r="E100" s="303"/>
      <c r="F100" s="298"/>
    </row>
    <row r="101" customFormat="false" ht="12.75" hidden="false" customHeight="false" outlineLevel="0" collapsed="false">
      <c r="A101" s="9"/>
      <c r="E101" s="3"/>
      <c r="F101" s="298"/>
    </row>
    <row r="102" customFormat="false" ht="13.5" hidden="false" customHeight="false" outlineLevel="0" collapsed="false">
      <c r="A102" s="9"/>
      <c r="D102" s="304"/>
      <c r="E102" s="304"/>
      <c r="F102" s="298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7"/>
      <c r="C108" s="27"/>
      <c r="D108" s="27"/>
      <c r="E108" s="31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47"/>
      <c r="E121" s="47"/>
      <c r="F121" s="38"/>
    </row>
    <row r="122" customFormat="false" ht="12.75" hidden="false" customHeight="false" outlineLevel="0" collapsed="false">
      <c r="A122" s="9"/>
      <c r="B122" s="27"/>
      <c r="C122" s="27"/>
      <c r="D122" s="27"/>
      <c r="E122" s="27"/>
      <c r="F122" s="31"/>
    </row>
    <row r="123" customFormat="false" ht="12.75" hidden="false" customHeight="false" outlineLevel="0" collapsed="false">
      <c r="A123" s="9"/>
      <c r="B123" s="27"/>
      <c r="C123" s="27"/>
      <c r="D123" s="302"/>
      <c r="E123" s="302"/>
      <c r="F123" s="31"/>
    </row>
    <row r="124" customFormat="false" ht="12.75" hidden="false" customHeight="false" outlineLevel="0" collapsed="false">
      <c r="B124" s="27"/>
      <c r="C124" s="27"/>
      <c r="D124" s="111"/>
      <c r="E124" s="111"/>
      <c r="F124" s="295"/>
    </row>
    <row r="125" customFormat="false" ht="12.75" hidden="false" customHeight="false" outlineLevel="0" collapsed="false">
      <c r="B125" s="27"/>
      <c r="C125" s="27"/>
      <c r="D125" s="111"/>
      <c r="E125" s="111"/>
      <c r="F125" s="295"/>
    </row>
    <row r="126" customFormat="false" ht="12.75" hidden="false" customHeight="false" outlineLevel="0" collapsed="false">
      <c r="A126" s="9"/>
      <c r="D126" s="305"/>
      <c r="E126" s="305"/>
      <c r="F126" s="298"/>
    </row>
    <row r="127" customFormat="false" ht="12.75" hidden="false" customHeight="false" outlineLevel="0" collapsed="false">
      <c r="A127" s="9"/>
      <c r="D127" s="111"/>
      <c r="E127" s="111"/>
      <c r="F127" s="298"/>
    </row>
    <row r="128" customFormat="false" ht="13.5" hidden="false" customHeight="false" outlineLevel="0" collapsed="false">
      <c r="A128" s="9"/>
      <c r="D128" s="306"/>
      <c r="E128" s="306"/>
      <c r="F128" s="29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7"/>
      <c r="C133" s="27"/>
      <c r="D133" s="27"/>
      <c r="E133" s="31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47"/>
      <c r="E146" s="47"/>
      <c r="F146" s="38"/>
    </row>
    <row r="147" customFormat="false" ht="12.75" hidden="false" customHeight="false" outlineLevel="0" collapsed="false">
      <c r="A147" s="9"/>
      <c r="B147" s="27"/>
      <c r="C147" s="27"/>
      <c r="D147" s="27"/>
      <c r="E147" s="27"/>
      <c r="F147" s="31"/>
    </row>
    <row r="148" customFormat="false" ht="12.75" hidden="false" customHeight="false" outlineLevel="0" collapsed="false">
      <c r="A148" s="9"/>
      <c r="B148" s="27"/>
      <c r="C148" s="27"/>
      <c r="D148" s="302"/>
      <c r="E148" s="302"/>
      <c r="F148" s="31"/>
    </row>
    <row r="149" customFormat="false" ht="12.75" hidden="false" customHeight="false" outlineLevel="0" collapsed="false">
      <c r="B149" s="27"/>
      <c r="C149" s="27"/>
      <c r="D149" s="111"/>
      <c r="E149" s="111"/>
      <c r="F149" s="295"/>
    </row>
    <row r="150" customFormat="false" ht="12.75" hidden="false" customHeight="false" outlineLevel="0" collapsed="false">
      <c r="B150" s="27"/>
      <c r="C150" s="27"/>
      <c r="D150" s="111"/>
      <c r="E150" s="111"/>
      <c r="F150" s="295"/>
    </row>
    <row r="151" customFormat="false" ht="12.75" hidden="false" customHeight="false" outlineLevel="0" collapsed="false">
      <c r="A151" s="9"/>
      <c r="D151" s="305"/>
      <c r="E151" s="305"/>
      <c r="F151" s="298"/>
    </row>
    <row r="152" customFormat="false" ht="12.75" hidden="false" customHeight="false" outlineLevel="0" collapsed="false">
      <c r="A152" s="9"/>
      <c r="D152" s="111"/>
      <c r="E152" s="111"/>
      <c r="F152" s="298"/>
    </row>
    <row r="153" customFormat="false" ht="13.5" hidden="false" customHeight="false" outlineLevel="0" collapsed="false">
      <c r="A153" s="9"/>
      <c r="D153" s="306"/>
      <c r="E153" s="306"/>
      <c r="F153" s="29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7"/>
      <c r="C158" s="27"/>
      <c r="D158" s="27"/>
      <c r="E158" s="31"/>
      <c r="F158" s="31"/>
    </row>
    <row r="159" customFormat="false" ht="12.75" hidden="false" customHeight="false" outlineLevel="0" collapsed="false">
      <c r="B159" s="307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307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07"/>
      <c r="C164" s="27"/>
      <c r="D164" s="27"/>
      <c r="E164" s="27"/>
      <c r="F164" s="31"/>
    </row>
    <row r="165" customFormat="false" ht="12.75" hidden="false" customHeight="false" outlineLevel="0" collapsed="false">
      <c r="B165" s="27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307"/>
      <c r="C169" s="27"/>
      <c r="D169" s="27"/>
      <c r="E169" s="27"/>
      <c r="F169" s="31"/>
    </row>
    <row r="170" customFormat="false" ht="12.75" hidden="false" customHeight="false" outlineLevel="0" collapsed="false">
      <c r="B170" s="307"/>
      <c r="C170" s="27"/>
      <c r="D170" s="27"/>
      <c r="E170" s="27"/>
      <c r="F170" s="31"/>
    </row>
    <row r="171" customFormat="false" ht="12.75" hidden="false" customHeight="false" outlineLevel="0" collapsed="false">
      <c r="B171" s="307"/>
      <c r="C171" s="27"/>
      <c r="D171" s="47"/>
      <c r="E171" s="47"/>
      <c r="F171" s="38"/>
    </row>
    <row r="172" customFormat="false" ht="12.75" hidden="false" customHeight="false" outlineLevel="0" collapsed="false">
      <c r="A172" s="9"/>
      <c r="B172" s="27"/>
      <c r="C172" s="27"/>
      <c r="D172" s="27"/>
      <c r="E172" s="27"/>
      <c r="F172" s="31"/>
    </row>
    <row r="173" customFormat="false" ht="12.75" hidden="false" customHeight="false" outlineLevel="0" collapsed="false">
      <c r="A173" s="9"/>
      <c r="B173" s="27"/>
      <c r="C173" s="27"/>
      <c r="D173" s="302"/>
      <c r="E173" s="302"/>
      <c r="F173" s="31"/>
    </row>
    <row r="174" customFormat="false" ht="12.75" hidden="false" customHeight="false" outlineLevel="0" collapsed="false">
      <c r="B174" s="27"/>
      <c r="C174" s="27"/>
      <c r="D174" s="111"/>
      <c r="E174" s="111"/>
      <c r="F174" s="295"/>
    </row>
    <row r="175" customFormat="false" ht="12.75" hidden="false" customHeight="false" outlineLevel="0" collapsed="false">
      <c r="B175" s="27"/>
      <c r="C175" s="27"/>
      <c r="D175" s="111"/>
      <c r="E175" s="111"/>
      <c r="F175" s="295"/>
    </row>
    <row r="176" customFormat="false" ht="12.75" hidden="false" customHeight="false" outlineLevel="0" collapsed="false">
      <c r="A176" s="9"/>
      <c r="D176" s="305"/>
      <c r="E176" s="305"/>
      <c r="F176" s="298"/>
    </row>
    <row r="177" customFormat="false" ht="12.75" hidden="false" customHeight="false" outlineLevel="0" collapsed="false">
      <c r="A177" s="9"/>
      <c r="D177" s="111"/>
      <c r="E177" s="111"/>
      <c r="F177" s="298"/>
    </row>
    <row r="178" customFormat="false" ht="13.5" hidden="false" customHeight="false" outlineLevel="0" collapsed="false">
      <c r="A178" s="9"/>
      <c r="D178" s="306"/>
      <c r="E178" s="306"/>
      <c r="F178" s="29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7"/>
      <c r="C182" s="27"/>
      <c r="D182" s="27"/>
      <c r="E182" s="31"/>
      <c r="F182" s="31"/>
    </row>
    <row r="183" customFormat="false" ht="12.75" hidden="false" customHeight="false" outlineLevel="0" collapsed="false">
      <c r="B183" s="307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B185" s="307"/>
      <c r="C185" s="27"/>
      <c r="D185" s="27"/>
      <c r="E185" s="27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07"/>
      <c r="C188" s="27"/>
      <c r="D188" s="27"/>
      <c r="E188" s="27"/>
      <c r="F188" s="31"/>
    </row>
    <row r="189" customFormat="false" ht="12.75" hidden="false" customHeight="false" outlineLevel="0" collapsed="false">
      <c r="B189" s="27"/>
      <c r="C189" s="27"/>
      <c r="D189" s="27"/>
      <c r="E189" s="27"/>
      <c r="F189" s="31"/>
    </row>
    <row r="190" customFormat="false" ht="12.75" hidden="false" customHeight="false" outlineLevel="0" collapsed="false">
      <c r="A190" s="308"/>
      <c r="B190" s="309"/>
      <c r="C190" s="309"/>
      <c r="D190" s="309"/>
      <c r="E190" s="309"/>
      <c r="F190" s="31"/>
    </row>
    <row r="191" customFormat="false" ht="12.75" hidden="false" customHeight="false" outlineLevel="0" collapsed="false"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307"/>
      <c r="C193" s="27"/>
      <c r="D193" s="27"/>
      <c r="E193" s="27"/>
      <c r="F193" s="31"/>
    </row>
    <row r="194" customFormat="false" ht="12.75" hidden="false" customHeight="false" outlineLevel="0" collapsed="false">
      <c r="B194" s="307"/>
      <c r="C194" s="27"/>
      <c r="D194" s="27"/>
      <c r="E194" s="27"/>
      <c r="F194" s="31"/>
    </row>
    <row r="195" customFormat="false" ht="12.75" hidden="false" customHeight="false" outlineLevel="0" collapsed="false">
      <c r="B195" s="307"/>
      <c r="C195" s="27"/>
      <c r="D195" s="47"/>
      <c r="E195" s="47"/>
      <c r="F195" s="38"/>
    </row>
    <row r="196" customFormat="false" ht="12.75" hidden="false" customHeight="false" outlineLevel="0" collapsed="false">
      <c r="A196" s="9"/>
      <c r="B196" s="27"/>
      <c r="C196" s="27"/>
      <c r="D196" s="27"/>
      <c r="E196" s="27"/>
      <c r="F196" s="31"/>
    </row>
    <row r="197" customFormat="false" ht="12.75" hidden="false" customHeight="false" outlineLevel="0" collapsed="false">
      <c r="A197" s="9"/>
      <c r="B197" s="27"/>
      <c r="C197" s="27"/>
      <c r="D197" s="302"/>
      <c r="E197" s="302"/>
      <c r="F197" s="31"/>
    </row>
    <row r="198" customFormat="false" ht="12.75" hidden="false" customHeight="false" outlineLevel="0" collapsed="false">
      <c r="B198" s="27"/>
      <c r="C198" s="27"/>
      <c r="D198" s="111"/>
      <c r="E198" s="111"/>
      <c r="F198" s="295"/>
    </row>
    <row r="199" customFormat="false" ht="12.75" hidden="false" customHeight="false" outlineLevel="0" collapsed="false">
      <c r="B199" s="27"/>
      <c r="C199" s="27"/>
      <c r="D199" s="111"/>
      <c r="E199" s="111"/>
      <c r="F199" s="295"/>
    </row>
    <row r="200" customFormat="false" ht="12.75" hidden="false" customHeight="false" outlineLevel="0" collapsed="false">
      <c r="A200" s="9"/>
      <c r="D200" s="305"/>
      <c r="E200" s="305"/>
      <c r="F200" s="298"/>
    </row>
    <row r="201" customFormat="false" ht="12.75" hidden="false" customHeight="false" outlineLevel="0" collapsed="false">
      <c r="A201" s="9"/>
      <c r="D201" s="111"/>
      <c r="E201" s="111"/>
      <c r="F201" s="298"/>
    </row>
    <row r="202" customFormat="false" ht="13.5" hidden="false" customHeight="false" outlineLevel="0" collapsed="false">
      <c r="A202" s="9"/>
      <c r="D202" s="310"/>
      <c r="E202" s="306"/>
      <c r="F202" s="29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07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B211" s="307"/>
      <c r="C211" s="27"/>
      <c r="D211" s="27"/>
      <c r="E211" s="27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07"/>
      <c r="C214" s="27"/>
      <c r="D214" s="27"/>
      <c r="E214" s="27"/>
      <c r="F214" s="31"/>
    </row>
    <row r="215" customFormat="false" ht="12.75" hidden="false" customHeight="false" outlineLevel="0" collapsed="false">
      <c r="B215" s="27"/>
      <c r="C215" s="27"/>
      <c r="D215" s="27"/>
      <c r="E215" s="27"/>
      <c r="F215" s="31"/>
    </row>
    <row r="216" customFormat="false" ht="12.75" hidden="false" customHeight="false" outlineLevel="0" collapsed="false">
      <c r="A216" s="308"/>
      <c r="B216" s="309"/>
      <c r="C216" s="309"/>
      <c r="D216" s="309"/>
      <c r="E216" s="309"/>
      <c r="F216" s="31"/>
    </row>
    <row r="217" customFormat="false" ht="12.75" hidden="false" customHeight="false" outlineLevel="0" collapsed="false"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307"/>
      <c r="C219" s="27"/>
      <c r="D219" s="27"/>
      <c r="E219" s="27"/>
      <c r="F219" s="31"/>
    </row>
    <row r="220" customFormat="false" ht="12.75" hidden="false" customHeight="false" outlineLevel="0" collapsed="false">
      <c r="B220" s="307"/>
      <c r="C220" s="27"/>
      <c r="D220" s="27"/>
      <c r="E220" s="27"/>
      <c r="F220" s="31"/>
    </row>
    <row r="221" customFormat="false" ht="12.75" hidden="false" customHeight="false" outlineLevel="0" collapsed="false">
      <c r="B221" s="307"/>
      <c r="C221" s="27"/>
      <c r="D221" s="47"/>
      <c r="E221" s="47"/>
      <c r="F221" s="38"/>
    </row>
    <row r="222" customFormat="false" ht="12.75" hidden="false" customHeight="false" outlineLevel="0" collapsed="false">
      <c r="A222" s="9"/>
      <c r="B222" s="27"/>
      <c r="C222" s="27"/>
      <c r="D222" s="27"/>
      <c r="E222" s="27"/>
      <c r="F222" s="31"/>
    </row>
    <row r="223" customFormat="false" ht="12.75" hidden="false" customHeight="false" outlineLevel="0" collapsed="false">
      <c r="A223" s="9"/>
      <c r="B223" s="27"/>
      <c r="C223" s="27"/>
      <c r="D223" s="302"/>
      <c r="E223" s="302"/>
      <c r="F223" s="31"/>
    </row>
    <row r="224" customFormat="false" ht="12.75" hidden="false" customHeight="false" outlineLevel="0" collapsed="false">
      <c r="B224" s="27"/>
      <c r="C224" s="27"/>
      <c r="D224" s="111"/>
      <c r="E224" s="111"/>
      <c r="F224" s="295"/>
    </row>
    <row r="225" customFormat="false" ht="12.75" hidden="false" customHeight="false" outlineLevel="0" collapsed="false">
      <c r="B225" s="27"/>
      <c r="C225" s="27"/>
      <c r="D225" s="111"/>
      <c r="E225" s="111"/>
      <c r="F225" s="295"/>
    </row>
    <row r="226" customFormat="false" ht="12.75" hidden="false" customHeight="false" outlineLevel="0" collapsed="false">
      <c r="A226" s="9"/>
      <c r="D226" s="305"/>
      <c r="E226" s="305"/>
      <c r="F226" s="298"/>
    </row>
    <row r="227" customFormat="false" ht="12.75" hidden="false" customHeight="false" outlineLevel="0" collapsed="false">
      <c r="A227" s="9"/>
      <c r="D227" s="111"/>
      <c r="E227" s="111"/>
      <c r="F227" s="298"/>
    </row>
    <row r="228" customFormat="false" ht="13.5" hidden="false" customHeight="false" outlineLevel="0" collapsed="false">
      <c r="A228" s="9"/>
      <c r="D228" s="310"/>
      <c r="E228" s="306"/>
      <c r="F228" s="29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07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B235" s="307"/>
      <c r="C235" s="27"/>
      <c r="D235" s="27"/>
      <c r="E235" s="27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07"/>
      <c r="C238" s="27"/>
      <c r="D238" s="27"/>
      <c r="E238" s="27"/>
      <c r="F238" s="31"/>
    </row>
    <row r="239" customFormat="false" ht="12.75" hidden="false" customHeight="false" outlineLevel="0" collapsed="false">
      <c r="B239" s="27"/>
      <c r="C239" s="27"/>
      <c r="D239" s="27"/>
      <c r="E239" s="27"/>
      <c r="F239" s="31"/>
    </row>
    <row r="240" customFormat="false" ht="12.75" hidden="false" customHeight="false" outlineLevel="0" collapsed="false">
      <c r="A240" s="311"/>
      <c r="B240" s="289"/>
      <c r="C240" s="289"/>
      <c r="D240" s="289"/>
      <c r="E240" s="289"/>
      <c r="F240" s="31"/>
    </row>
    <row r="241" customFormat="false" ht="12.75" hidden="false" customHeight="false" outlineLevel="0" collapsed="false"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307"/>
      <c r="C243" s="27"/>
      <c r="D243" s="27"/>
      <c r="E243" s="27"/>
      <c r="F243" s="31"/>
    </row>
    <row r="244" customFormat="false" ht="12.75" hidden="false" customHeight="false" outlineLevel="0" collapsed="false">
      <c r="B244" s="307"/>
      <c r="C244" s="27"/>
      <c r="D244" s="27"/>
      <c r="E244" s="27"/>
      <c r="F244" s="31"/>
    </row>
    <row r="245" customFormat="false" ht="12.75" hidden="false" customHeight="false" outlineLevel="0" collapsed="false">
      <c r="B245" s="307"/>
      <c r="C245" s="27"/>
      <c r="D245" s="47"/>
      <c r="E245" s="47"/>
      <c r="F245" s="38"/>
    </row>
    <row r="246" customFormat="false" ht="12.75" hidden="false" customHeight="false" outlineLevel="0" collapsed="false">
      <c r="A246" s="9"/>
      <c r="B246" s="27"/>
      <c r="C246" s="27"/>
      <c r="D246" s="27"/>
      <c r="E246" s="27"/>
      <c r="F246" s="31"/>
    </row>
    <row r="247" customFormat="false" ht="12.75" hidden="false" customHeight="false" outlineLevel="0" collapsed="false">
      <c r="A247" s="9"/>
      <c r="B247" s="27"/>
      <c r="C247" s="27"/>
      <c r="D247" s="302"/>
      <c r="E247" s="302"/>
      <c r="F247" s="31"/>
    </row>
    <row r="248" customFormat="false" ht="12.75" hidden="false" customHeight="false" outlineLevel="0" collapsed="false">
      <c r="B248" s="27"/>
      <c r="C248" s="27"/>
      <c r="D248" s="111"/>
      <c r="E248" s="111"/>
      <c r="F248" s="295"/>
    </row>
    <row r="249" customFormat="false" ht="12.75" hidden="false" customHeight="false" outlineLevel="0" collapsed="false">
      <c r="B249" s="27"/>
      <c r="C249" s="27"/>
      <c r="D249" s="111"/>
      <c r="E249" s="111"/>
      <c r="F249" s="295"/>
    </row>
    <row r="250" customFormat="false" ht="12.75" hidden="false" customHeight="false" outlineLevel="0" collapsed="false">
      <c r="A250" s="9"/>
      <c r="D250" s="305"/>
      <c r="E250" s="305"/>
      <c r="F250" s="298"/>
    </row>
    <row r="251" customFormat="false" ht="12.75" hidden="false" customHeight="false" outlineLevel="0" collapsed="false">
      <c r="A251" s="9"/>
      <c r="D251" s="111"/>
      <c r="E251" s="111"/>
      <c r="F251" s="298"/>
    </row>
    <row r="252" customFormat="false" ht="13.5" hidden="false" customHeight="false" outlineLevel="0" collapsed="false">
      <c r="A252" s="9"/>
      <c r="D252" s="312"/>
      <c r="E252" s="306"/>
      <c r="F252" s="298"/>
    </row>
    <row r="253" customFormat="false" ht="13.5" hidden="false" customHeight="false" outlineLevel="0" collapsed="false"/>
    <row r="255" customFormat="false" ht="12.75" hidden="false" customHeight="false" outlineLevel="0" collapsed="false">
      <c r="A255" s="282"/>
      <c r="B255" s="280"/>
      <c r="C255" s="280"/>
      <c r="D255" s="280"/>
    </row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313"/>
      <c r="C257" s="280"/>
      <c r="D257" s="280"/>
      <c r="E257" s="27"/>
      <c r="F257" s="31"/>
    </row>
    <row r="258" customFormat="false" ht="12.75" hidden="false" customHeight="false" outlineLevel="0" collapsed="false">
      <c r="A258" s="282"/>
      <c r="B258" s="280"/>
      <c r="C258" s="280"/>
      <c r="D258" s="280"/>
      <c r="E258" s="27"/>
      <c r="F258" s="31"/>
    </row>
    <row r="259" customFormat="false" ht="12.75" hidden="false" customHeight="false" outlineLevel="0" collapsed="false">
      <c r="A259" s="282"/>
      <c r="B259" s="313"/>
      <c r="C259" s="280"/>
      <c r="D259" s="280"/>
      <c r="E259" s="27"/>
      <c r="F259" s="31"/>
    </row>
    <row r="260" customFormat="false" ht="12.75" hidden="false" customHeight="false" outlineLevel="0" collapsed="false">
      <c r="A260" s="282"/>
      <c r="B260" s="280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313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280"/>
      <c r="C263" s="280"/>
      <c r="D263" s="280"/>
      <c r="E263" s="27"/>
      <c r="F263" s="31"/>
    </row>
    <row r="264" customFormat="false" ht="12.75" hidden="false" customHeight="false" outlineLevel="0" collapsed="false">
      <c r="A264" s="288"/>
      <c r="B264" s="314"/>
      <c r="C264" s="314"/>
      <c r="D264" s="314"/>
      <c r="E264" s="289"/>
      <c r="F264" s="31"/>
    </row>
    <row r="265" customFormat="false" ht="12.75" hidden="false" customHeight="false" outlineLevel="0" collapsed="false">
      <c r="A265" s="282"/>
      <c r="B265" s="280"/>
      <c r="C265" s="280"/>
      <c r="D265" s="280"/>
      <c r="E265" s="27"/>
      <c r="F265" s="31"/>
    </row>
    <row r="266" customFormat="false" ht="12.75" hidden="false" customHeight="false" outlineLevel="0" collapsed="false">
      <c r="A266" s="282"/>
      <c r="B266" s="280"/>
      <c r="C266" s="280"/>
      <c r="D266" s="280"/>
      <c r="E266" s="27"/>
      <c r="F266" s="31"/>
    </row>
    <row r="267" customFormat="false" ht="12.75" hidden="false" customHeight="false" outlineLevel="0" collapsed="false">
      <c r="A267" s="282"/>
      <c r="B267" s="313"/>
      <c r="C267" s="280"/>
      <c r="D267" s="280"/>
      <c r="E267" s="27"/>
      <c r="F267" s="31"/>
    </row>
    <row r="268" customFormat="false" ht="12.75" hidden="false" customHeight="false" outlineLevel="0" collapsed="false">
      <c r="A268" s="282"/>
      <c r="B268" s="313"/>
      <c r="C268" s="280"/>
      <c r="D268" s="280"/>
      <c r="E268" s="27"/>
      <c r="F268" s="31"/>
    </row>
    <row r="269" customFormat="false" ht="12.75" hidden="false" customHeight="false" outlineLevel="0" collapsed="false">
      <c r="A269" s="282"/>
      <c r="B269" s="313"/>
      <c r="C269" s="280"/>
      <c r="D269" s="291"/>
      <c r="E269" s="47"/>
      <c r="F269" s="38"/>
    </row>
    <row r="270" customFormat="false" ht="12.75" hidden="false" customHeight="false" outlineLevel="0" collapsed="false">
      <c r="A270" s="282"/>
      <c r="B270" s="280"/>
      <c r="C270" s="280"/>
      <c r="D270" s="280"/>
      <c r="E270" s="27"/>
      <c r="F270" s="31"/>
    </row>
    <row r="271" customFormat="false" ht="12.75" hidden="false" customHeight="false" outlineLevel="0" collapsed="false">
      <c r="A271" s="282"/>
      <c r="B271" s="280"/>
      <c r="C271" s="280"/>
      <c r="D271" s="292"/>
      <c r="E271" s="302"/>
      <c r="F271" s="31"/>
    </row>
    <row r="272" customFormat="false" ht="12.75" hidden="false" customHeight="false" outlineLevel="0" collapsed="false">
      <c r="A272" s="282"/>
      <c r="B272" s="280"/>
      <c r="C272" s="280"/>
      <c r="D272" s="294"/>
      <c r="E272" s="111"/>
      <c r="F272" s="295"/>
    </row>
    <row r="273" customFormat="false" ht="12.75" hidden="false" customHeight="false" outlineLevel="0" collapsed="false">
      <c r="A273" s="282"/>
      <c r="B273" s="280"/>
      <c r="C273" s="280"/>
      <c r="D273" s="294"/>
      <c r="E273" s="111"/>
      <c r="F273" s="295"/>
    </row>
    <row r="274" customFormat="false" ht="12.75" hidden="false" customHeight="false" outlineLevel="0" collapsed="false">
      <c r="A274" s="282"/>
      <c r="B274" s="280"/>
      <c r="C274" s="280"/>
      <c r="D274" s="315"/>
      <c r="E274" s="305"/>
      <c r="F274" s="298"/>
    </row>
    <row r="275" customFormat="false" ht="12.75" hidden="false" customHeight="false" outlineLevel="0" collapsed="false">
      <c r="A275" s="282"/>
      <c r="B275" s="280"/>
      <c r="C275" s="280"/>
      <c r="D275" s="294"/>
      <c r="E275" s="111"/>
      <c r="F275" s="298"/>
    </row>
    <row r="276" customFormat="false" ht="13.5" hidden="false" customHeight="false" outlineLevel="0" collapsed="false">
      <c r="A276" s="282"/>
      <c r="B276" s="280"/>
      <c r="C276" s="280"/>
      <c r="D276" s="316"/>
      <c r="E276" s="306"/>
      <c r="F276" s="298"/>
    </row>
    <row r="277" customFormat="false" ht="13.5" hidden="false" customHeight="false" outlineLevel="0" collapsed="false"/>
    <row r="280" customFormat="false" ht="12.75" hidden="false" customHeight="false" outlineLevel="0" collapsed="false">
      <c r="A280" s="282"/>
      <c r="B280" s="280"/>
      <c r="C280" s="280"/>
      <c r="D280" s="280"/>
    </row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313"/>
      <c r="C282" s="280"/>
      <c r="D282" s="280"/>
      <c r="E282" s="27"/>
      <c r="F282" s="31"/>
    </row>
    <row r="283" customFormat="false" ht="12.75" hidden="false" customHeight="false" outlineLevel="0" collapsed="false">
      <c r="A283" s="282"/>
      <c r="B283" s="280"/>
      <c r="C283" s="280"/>
      <c r="D283" s="280"/>
      <c r="E283" s="27"/>
      <c r="F283" s="31"/>
    </row>
    <row r="284" customFormat="false" ht="12.75" hidden="false" customHeight="false" outlineLevel="0" collapsed="false">
      <c r="A284" s="282"/>
      <c r="B284" s="313"/>
      <c r="C284" s="280"/>
      <c r="D284" s="280"/>
      <c r="E284" s="27"/>
      <c r="F284" s="31"/>
    </row>
    <row r="285" customFormat="false" ht="12.75" hidden="false" customHeight="false" outlineLevel="0" collapsed="false">
      <c r="A285" s="282"/>
      <c r="B285" s="280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313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280"/>
      <c r="C288" s="280"/>
      <c r="D288" s="280"/>
      <c r="E288" s="27"/>
      <c r="F288" s="31"/>
    </row>
    <row r="289" customFormat="false" ht="12.75" hidden="false" customHeight="false" outlineLevel="0" collapsed="false">
      <c r="A289" s="288"/>
      <c r="B289" s="314"/>
      <c r="C289" s="314"/>
      <c r="D289" s="314"/>
      <c r="E289" s="289"/>
      <c r="F289" s="31"/>
    </row>
    <row r="290" customFormat="false" ht="12.75" hidden="false" customHeight="false" outlineLevel="0" collapsed="false">
      <c r="A290" s="282"/>
      <c r="B290" s="280"/>
      <c r="C290" s="280"/>
      <c r="D290" s="280"/>
      <c r="E290" s="27"/>
      <c r="F290" s="31"/>
    </row>
    <row r="291" customFormat="false" ht="12.75" hidden="false" customHeight="false" outlineLevel="0" collapsed="false">
      <c r="A291" s="282"/>
      <c r="B291" s="280"/>
      <c r="C291" s="280"/>
      <c r="D291" s="280"/>
      <c r="E291" s="27"/>
      <c r="F291" s="31"/>
    </row>
    <row r="292" customFormat="false" ht="12.75" hidden="false" customHeight="false" outlineLevel="0" collapsed="false">
      <c r="A292" s="282"/>
      <c r="B292" s="313"/>
      <c r="C292" s="280"/>
      <c r="D292" s="280"/>
      <c r="E292" s="27"/>
      <c r="F292" s="31"/>
    </row>
    <row r="293" customFormat="false" ht="12.75" hidden="false" customHeight="false" outlineLevel="0" collapsed="false">
      <c r="A293" s="282"/>
      <c r="B293" s="313"/>
      <c r="C293" s="280"/>
      <c r="D293" s="280"/>
      <c r="E293" s="27"/>
      <c r="F293" s="31"/>
    </row>
    <row r="294" customFormat="false" ht="12.75" hidden="false" customHeight="false" outlineLevel="0" collapsed="false">
      <c r="A294" s="282"/>
      <c r="B294" s="313"/>
      <c r="C294" s="280"/>
      <c r="D294" s="291"/>
      <c r="E294" s="47"/>
      <c r="F294" s="38"/>
    </row>
    <row r="295" customFormat="false" ht="12.75" hidden="false" customHeight="false" outlineLevel="0" collapsed="false">
      <c r="A295" s="282"/>
      <c r="B295" s="280"/>
      <c r="C295" s="280"/>
      <c r="D295" s="280"/>
      <c r="E295" s="27"/>
      <c r="F295" s="31"/>
    </row>
    <row r="296" customFormat="false" ht="12.75" hidden="false" customHeight="false" outlineLevel="0" collapsed="false">
      <c r="A296" s="282"/>
      <c r="B296" s="280"/>
      <c r="C296" s="280"/>
      <c r="D296" s="292"/>
      <c r="E296" s="302"/>
      <c r="F296" s="31"/>
    </row>
    <row r="297" customFormat="false" ht="12.75" hidden="false" customHeight="false" outlineLevel="0" collapsed="false">
      <c r="A297" s="282"/>
      <c r="B297" s="280"/>
      <c r="C297" s="280"/>
      <c r="D297" s="294"/>
      <c r="E297" s="111"/>
      <c r="F297" s="295"/>
    </row>
    <row r="298" customFormat="false" ht="12.75" hidden="false" customHeight="false" outlineLevel="0" collapsed="false">
      <c r="A298" s="282"/>
      <c r="B298" s="280"/>
      <c r="C298" s="280"/>
      <c r="D298" s="294"/>
      <c r="E298" s="111"/>
      <c r="F298" s="295"/>
    </row>
    <row r="299" customFormat="false" ht="12.75" hidden="false" customHeight="false" outlineLevel="0" collapsed="false">
      <c r="A299" s="296"/>
      <c r="B299" s="280"/>
      <c r="C299" s="280"/>
      <c r="D299" s="315"/>
      <c r="E299" s="305"/>
      <c r="F299" s="298"/>
    </row>
    <row r="300" customFormat="false" ht="12.75" hidden="false" customHeight="false" outlineLevel="0" collapsed="false">
      <c r="A300" s="282"/>
      <c r="B300" s="280"/>
      <c r="C300" s="280"/>
      <c r="D300" s="294"/>
      <c r="E300" s="111"/>
      <c r="F300" s="298"/>
    </row>
    <row r="301" customFormat="false" ht="13.5" hidden="false" customHeight="false" outlineLevel="0" collapsed="false">
      <c r="A301" s="282"/>
      <c r="B301" s="280"/>
      <c r="C301" s="280"/>
      <c r="D301" s="316"/>
      <c r="E301" s="306"/>
      <c r="F301" s="298"/>
    </row>
    <row r="302" customFormat="false" ht="13.5" hidden="false" customHeight="false" outlineLevel="0" collapsed="false"/>
    <row r="307" customFormat="false" ht="12.75" hidden="false" customHeight="false" outlineLevel="0" collapsed="false">
      <c r="A307" s="282"/>
      <c r="B307" s="280"/>
      <c r="C307" s="280"/>
      <c r="D307" s="280"/>
    </row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313"/>
      <c r="C309" s="280"/>
      <c r="D309" s="280"/>
      <c r="E309" s="27"/>
      <c r="F309" s="31"/>
    </row>
    <row r="310" customFormat="false" ht="12.75" hidden="false" customHeight="false" outlineLevel="0" collapsed="false">
      <c r="A310" s="282"/>
      <c r="B310" s="280"/>
      <c r="C310" s="280"/>
      <c r="D310" s="280"/>
      <c r="E310" s="27"/>
      <c r="F310" s="31"/>
    </row>
    <row r="311" customFormat="false" ht="12.75" hidden="false" customHeight="false" outlineLevel="0" collapsed="false">
      <c r="A311" s="282"/>
      <c r="B311" s="313"/>
      <c r="C311" s="280"/>
      <c r="D311" s="280"/>
      <c r="E311" s="27"/>
      <c r="F311" s="31"/>
    </row>
    <row r="312" customFormat="false" ht="12.75" hidden="false" customHeight="false" outlineLevel="0" collapsed="false">
      <c r="A312" s="282"/>
      <c r="B312" s="280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313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280"/>
      <c r="C315" s="280"/>
      <c r="D315" s="280"/>
      <c r="E315" s="27"/>
      <c r="F315" s="31"/>
    </row>
    <row r="316" customFormat="false" ht="12.75" hidden="false" customHeight="false" outlineLevel="0" collapsed="false">
      <c r="A316" s="288"/>
      <c r="B316" s="314"/>
      <c r="C316" s="314"/>
      <c r="D316" s="314"/>
      <c r="E316" s="289"/>
      <c r="F316" s="31"/>
    </row>
    <row r="317" customFormat="false" ht="12.75" hidden="false" customHeight="false" outlineLevel="0" collapsed="false">
      <c r="A317" s="282"/>
      <c r="B317" s="280"/>
      <c r="C317" s="280"/>
      <c r="D317" s="280"/>
      <c r="E317" s="27"/>
      <c r="F317" s="31"/>
    </row>
    <row r="318" customFormat="false" ht="12.75" hidden="false" customHeight="false" outlineLevel="0" collapsed="false">
      <c r="A318" s="282"/>
      <c r="B318" s="280"/>
      <c r="C318" s="280"/>
      <c r="D318" s="280"/>
      <c r="E318" s="27"/>
      <c r="F318" s="31"/>
    </row>
    <row r="319" customFormat="false" ht="12.75" hidden="false" customHeight="false" outlineLevel="0" collapsed="false">
      <c r="A319" s="282"/>
      <c r="B319" s="313"/>
      <c r="C319" s="280"/>
      <c r="D319" s="280"/>
      <c r="E319" s="27"/>
      <c r="F319" s="31"/>
    </row>
    <row r="320" customFormat="false" ht="12.75" hidden="false" customHeight="false" outlineLevel="0" collapsed="false">
      <c r="A320" s="282"/>
      <c r="B320" s="313"/>
      <c r="C320" s="280"/>
      <c r="D320" s="280"/>
      <c r="E320" s="27"/>
      <c r="F320" s="31"/>
    </row>
    <row r="321" customFormat="false" ht="12.75" hidden="false" customHeight="false" outlineLevel="0" collapsed="false">
      <c r="A321" s="282"/>
      <c r="B321" s="313"/>
      <c r="C321" s="280"/>
      <c r="D321" s="291"/>
      <c r="E321" s="47"/>
      <c r="F321" s="38"/>
    </row>
    <row r="322" customFormat="false" ht="12.75" hidden="false" customHeight="false" outlineLevel="0" collapsed="false">
      <c r="A322" s="282"/>
      <c r="B322" s="280"/>
      <c r="C322" s="280"/>
      <c r="D322" s="280"/>
      <c r="E322" s="27"/>
      <c r="F322" s="31"/>
    </row>
    <row r="323" customFormat="false" ht="12.75" hidden="false" customHeight="false" outlineLevel="0" collapsed="false">
      <c r="A323" s="282"/>
      <c r="B323" s="280"/>
      <c r="C323" s="280"/>
      <c r="D323" s="292"/>
      <c r="E323" s="302"/>
      <c r="F323" s="31"/>
    </row>
    <row r="324" customFormat="false" ht="12.75" hidden="false" customHeight="false" outlineLevel="0" collapsed="false">
      <c r="A324" s="282"/>
      <c r="B324" s="280"/>
      <c r="C324" s="280"/>
      <c r="D324" s="294"/>
      <c r="E324" s="111"/>
      <c r="F324" s="295"/>
    </row>
    <row r="325" customFormat="false" ht="12.75" hidden="false" customHeight="false" outlineLevel="0" collapsed="false">
      <c r="A325" s="282"/>
      <c r="B325" s="280"/>
      <c r="C325" s="280"/>
      <c r="D325" s="294"/>
      <c r="E325" s="111"/>
      <c r="F325" s="295"/>
    </row>
    <row r="326" customFormat="false" ht="12.75" hidden="false" customHeight="false" outlineLevel="0" collapsed="false">
      <c r="A326" s="296"/>
      <c r="B326" s="280"/>
      <c r="C326" s="280"/>
      <c r="D326" s="315"/>
      <c r="E326" s="305"/>
      <c r="F326" s="298"/>
    </row>
    <row r="327" customFormat="false" ht="12.75" hidden="false" customHeight="false" outlineLevel="0" collapsed="false">
      <c r="A327" s="282"/>
      <c r="B327" s="280"/>
      <c r="C327" s="280"/>
      <c r="D327" s="294"/>
      <c r="E327" s="111"/>
      <c r="F327" s="298"/>
    </row>
    <row r="328" customFormat="false" ht="13.5" hidden="false" customHeight="false" outlineLevel="0" collapsed="false">
      <c r="A328" s="282"/>
      <c r="B328" s="280"/>
      <c r="C328" s="280"/>
      <c r="D328" s="316"/>
      <c r="E328" s="306"/>
      <c r="F328" s="29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30" activeCellId="3" sqref="A39 B32 C40 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83" t="s">
        <v>114</v>
      </c>
      <c r="C2" s="283" t="s">
        <v>115</v>
      </c>
      <c r="D2" s="283" t="s">
        <v>114</v>
      </c>
      <c r="E2" s="283" t="s">
        <v>115</v>
      </c>
      <c r="F2" s="284" t="s">
        <v>117</v>
      </c>
    </row>
    <row r="3" customFormat="false" ht="12.75" hidden="false" customHeight="false" outlineLevel="0" collapsed="false">
      <c r="A3" s="0" t="n">
        <v>1</v>
      </c>
      <c r="B3" s="280" t="n">
        <v>53256</v>
      </c>
      <c r="C3" s="280" t="n">
        <v>50455</v>
      </c>
      <c r="D3" s="280"/>
      <c r="E3" s="280"/>
      <c r="F3" s="280" t="n">
        <f aca="false">+E3-D3+C3-B3</f>
        <v>-2801</v>
      </c>
    </row>
    <row r="4" customFormat="false" ht="12.75" hidden="false" customHeight="false" outlineLevel="0" collapsed="false">
      <c r="A4" s="0" t="n">
        <v>2</v>
      </c>
      <c r="B4" s="280" t="n">
        <v>35225</v>
      </c>
      <c r="C4" s="280" t="n">
        <v>42864</v>
      </c>
      <c r="D4" s="280"/>
      <c r="E4" s="280"/>
      <c r="F4" s="280" t="n">
        <f aca="false">+E4-D4+C4-B4</f>
        <v>7639</v>
      </c>
    </row>
    <row r="5" customFormat="false" ht="12.75" hidden="false" customHeight="false" outlineLevel="0" collapsed="false">
      <c r="A5" s="0" t="n">
        <v>3</v>
      </c>
      <c r="B5" s="280" t="n">
        <v>9749</v>
      </c>
      <c r="C5" s="280" t="n">
        <v>31925</v>
      </c>
      <c r="D5" s="280"/>
      <c r="E5" s="280"/>
      <c r="F5" s="280" t="n">
        <f aca="false">+E5-D5+C5-B5</f>
        <v>22176</v>
      </c>
    </row>
    <row r="6" customFormat="false" ht="12.75" hidden="false" customHeight="false" outlineLevel="0" collapsed="false">
      <c r="A6" s="0" t="n">
        <v>4</v>
      </c>
      <c r="B6" s="280" t="n">
        <v>13680</v>
      </c>
      <c r="C6" s="280" t="n">
        <v>13148</v>
      </c>
      <c r="D6" s="280"/>
      <c r="E6" s="280"/>
      <c r="F6" s="280" t="n">
        <f aca="false">+E6-D6+C6-B6</f>
        <v>-532</v>
      </c>
    </row>
    <row r="7" customFormat="false" ht="12.75" hidden="false" customHeight="false" outlineLevel="0" collapsed="false">
      <c r="A7" s="0" t="n">
        <v>5</v>
      </c>
      <c r="B7" s="280" t="n">
        <v>39257</v>
      </c>
      <c r="C7" s="280" t="n">
        <v>39446</v>
      </c>
      <c r="D7" s="280"/>
      <c r="E7" s="280"/>
      <c r="F7" s="280" t="n">
        <f aca="false">+E7-D7+C7-B7</f>
        <v>189</v>
      </c>
    </row>
    <row r="8" customFormat="false" ht="12.75" hidden="false" customHeight="false" outlineLevel="0" collapsed="false">
      <c r="A8" s="0" t="n">
        <v>6</v>
      </c>
      <c r="B8" s="280" t="n">
        <v>39309</v>
      </c>
      <c r="C8" s="280" t="n">
        <v>39455</v>
      </c>
      <c r="D8" s="280"/>
      <c r="E8" s="280"/>
      <c r="F8" s="280" t="n">
        <f aca="false">+E8-D8+C8-B8</f>
        <v>146</v>
      </c>
    </row>
    <row r="9" customFormat="false" ht="12.75" hidden="false" customHeight="false" outlineLevel="0" collapsed="false">
      <c r="A9" s="0" t="n">
        <v>7</v>
      </c>
      <c r="B9" s="280" t="n">
        <v>17078</v>
      </c>
      <c r="C9" s="280" t="n">
        <v>21455</v>
      </c>
      <c r="D9" s="280"/>
      <c r="E9" s="280"/>
      <c r="F9" s="280" t="n">
        <f aca="false">+E9-D9+C9-B9</f>
        <v>4377</v>
      </c>
    </row>
    <row r="10" customFormat="false" ht="12.75" hidden="false" customHeight="false" outlineLevel="0" collapsed="false">
      <c r="A10" s="0" t="n">
        <v>8</v>
      </c>
      <c r="B10" s="280" t="n">
        <v>38021</v>
      </c>
      <c r="C10" s="280" t="n">
        <v>38122</v>
      </c>
      <c r="D10" s="280"/>
      <c r="E10" s="280"/>
      <c r="F10" s="280" t="n">
        <f aca="false">+E10-D10+C10-B10</f>
        <v>101</v>
      </c>
    </row>
    <row r="11" customFormat="false" ht="12.75" hidden="false" customHeight="false" outlineLevel="0" collapsed="false">
      <c r="A11" s="0" t="n">
        <v>9</v>
      </c>
      <c r="B11" s="280" t="n">
        <v>50313</v>
      </c>
      <c r="C11" s="280" t="n">
        <v>34788</v>
      </c>
      <c r="D11" s="280"/>
      <c r="E11" s="280"/>
      <c r="F11" s="280" t="n">
        <f aca="false">+E11-D11+C11-B11</f>
        <v>-15525</v>
      </c>
    </row>
    <row r="12" customFormat="false" ht="12.75" hidden="false" customHeight="false" outlineLevel="0" collapsed="false">
      <c r="A12" s="0" t="n">
        <v>10</v>
      </c>
      <c r="B12" s="280" t="n">
        <v>41422</v>
      </c>
      <c r="C12" s="280" t="n">
        <v>41455</v>
      </c>
      <c r="D12" s="280" t="n">
        <v>-663</v>
      </c>
      <c r="E12" s="280"/>
      <c r="F12" s="280" t="n">
        <f aca="false">+E12-D12+C12-B12</f>
        <v>696</v>
      </c>
    </row>
    <row r="13" customFormat="false" ht="12.75" hidden="false" customHeight="false" outlineLevel="0" collapsed="false">
      <c r="A13" s="0" t="n">
        <v>11</v>
      </c>
      <c r="B13" s="280" t="n">
        <v>41404</v>
      </c>
      <c r="C13" s="280" t="n">
        <v>41455</v>
      </c>
      <c r="D13" s="280" t="n">
        <v>-302</v>
      </c>
      <c r="E13" s="280"/>
      <c r="F13" s="280" t="n">
        <f aca="false">+E13-D13+C13-B13</f>
        <v>353</v>
      </c>
    </row>
    <row r="14" customFormat="false" ht="12.75" hidden="false" customHeight="false" outlineLevel="0" collapsed="false">
      <c r="A14" s="0" t="n">
        <v>12</v>
      </c>
      <c r="B14" s="280" t="n">
        <v>51512</v>
      </c>
      <c r="C14" s="280" t="n">
        <v>46739</v>
      </c>
      <c r="D14" s="280"/>
      <c r="E14" s="280"/>
      <c r="F14" s="280" t="n">
        <f aca="false">+E14-D14+C14-B14</f>
        <v>-4773</v>
      </c>
    </row>
    <row r="15" customFormat="false" ht="12.75" hidden="false" customHeight="false" outlineLevel="0" collapsed="false">
      <c r="A15" s="0" t="n">
        <v>13</v>
      </c>
      <c r="B15" s="280" t="n">
        <v>46816</v>
      </c>
      <c r="C15" s="280" t="n">
        <v>46871</v>
      </c>
      <c r="D15" s="280"/>
      <c r="E15" s="280"/>
      <c r="F15" s="280" t="n">
        <f aca="false">+E15-D15+C15-B15</f>
        <v>55</v>
      </c>
    </row>
    <row r="16" customFormat="false" ht="12.75" hidden="false" customHeight="false" outlineLevel="0" collapsed="false">
      <c r="A16" s="0" t="n">
        <v>14</v>
      </c>
      <c r="B16" s="280" t="n">
        <v>44923</v>
      </c>
      <c r="C16" s="280" t="n">
        <v>44937</v>
      </c>
      <c r="D16" s="280"/>
      <c r="E16" s="280"/>
      <c r="F16" s="280" t="n">
        <f aca="false">+E16-D16+C16-B16</f>
        <v>14</v>
      </c>
    </row>
    <row r="17" customFormat="false" ht="12.75" hidden="false" customHeight="false" outlineLevel="0" collapsed="false">
      <c r="A17" s="0" t="n">
        <v>15</v>
      </c>
      <c r="B17" s="280" t="n">
        <v>49883</v>
      </c>
      <c r="C17" s="280" t="n">
        <v>44937</v>
      </c>
      <c r="D17" s="30"/>
      <c r="E17" s="30"/>
      <c r="F17" s="280" t="n">
        <f aca="false">+E17-D17+C17-B17</f>
        <v>-4946</v>
      </c>
    </row>
    <row r="18" customFormat="false" ht="12.75" hidden="false" customHeight="false" outlineLevel="0" collapsed="false">
      <c r="A18" s="0" t="n">
        <v>16</v>
      </c>
      <c r="B18" s="280" t="n">
        <v>51915</v>
      </c>
      <c r="C18" s="280" t="n">
        <v>46937</v>
      </c>
      <c r="D18" s="30"/>
      <c r="E18" s="30"/>
      <c r="F18" s="280" t="n">
        <f aca="false">+E18-D18+C18-B18</f>
        <v>-4978</v>
      </c>
    </row>
    <row r="19" customFormat="false" ht="12.75" hidden="false" customHeight="false" outlineLevel="0" collapsed="false">
      <c r="A19" s="0" t="n">
        <v>17</v>
      </c>
      <c r="B19" s="280" t="n">
        <v>54916</v>
      </c>
      <c r="C19" s="280" t="n">
        <v>49937</v>
      </c>
      <c r="D19" s="30"/>
      <c r="E19" s="30"/>
      <c r="F19" s="280" t="n">
        <f aca="false">+E19-D19+C19-B19</f>
        <v>-4979</v>
      </c>
    </row>
    <row r="20" customFormat="false" ht="12.75" hidden="false" customHeight="false" outlineLevel="0" collapsed="false">
      <c r="A20" s="0" t="n">
        <v>18</v>
      </c>
      <c r="B20" s="373" t="n">
        <v>63907</v>
      </c>
      <c r="C20" s="373" t="n">
        <v>58936</v>
      </c>
      <c r="D20" s="30"/>
      <c r="E20" s="30"/>
      <c r="F20" s="280" t="n">
        <f aca="false">+E20-D20+C20-B20</f>
        <v>-4971</v>
      </c>
    </row>
    <row r="21" customFormat="false" ht="12.75" hidden="false" customHeight="false" outlineLevel="0" collapsed="false">
      <c r="A21" s="0" t="n">
        <v>19</v>
      </c>
      <c r="B21" s="373" t="n">
        <v>63938</v>
      </c>
      <c r="C21" s="373" t="n">
        <v>58937</v>
      </c>
      <c r="D21" s="30"/>
      <c r="E21" s="30"/>
      <c r="F21" s="280" t="n">
        <f aca="false">+E21-D21+C21-B21</f>
        <v>-5001</v>
      </c>
    </row>
    <row r="22" customFormat="false" ht="12.75" hidden="false" customHeight="false" outlineLevel="0" collapsed="false">
      <c r="A22" s="0" t="n">
        <v>20</v>
      </c>
      <c r="B22" s="373" t="n">
        <v>58756</v>
      </c>
      <c r="C22" s="373" t="n">
        <v>58727</v>
      </c>
      <c r="D22" s="30"/>
      <c r="E22" s="30"/>
      <c r="F22" s="280" t="n">
        <f aca="false">+E22-D22+C22-B22</f>
        <v>-29</v>
      </c>
    </row>
    <row r="23" customFormat="false" ht="12.75" hidden="false" customHeight="false" outlineLevel="0" collapsed="false">
      <c r="A23" s="0" t="n">
        <v>21</v>
      </c>
      <c r="B23" s="373" t="n">
        <v>49619</v>
      </c>
      <c r="C23" s="373" t="n">
        <v>49630</v>
      </c>
      <c r="D23" s="30"/>
      <c r="E23" s="30"/>
      <c r="F23" s="280" t="n">
        <f aca="false">+E23-D23+C23-B23</f>
        <v>11</v>
      </c>
    </row>
    <row r="24" customFormat="false" ht="12.75" hidden="false" customHeight="false" outlineLevel="0" collapsed="false">
      <c r="A24" s="0" t="n">
        <v>22</v>
      </c>
      <c r="B24" s="373" t="n">
        <v>62677</v>
      </c>
      <c r="C24" s="373" t="n">
        <v>62726</v>
      </c>
      <c r="D24" s="30"/>
      <c r="E24" s="30"/>
      <c r="F24" s="280" t="n">
        <f aca="false">+E24-D24+C24-B24</f>
        <v>49</v>
      </c>
    </row>
    <row r="25" customFormat="false" ht="12.75" hidden="false" customHeight="false" outlineLevel="0" collapsed="false">
      <c r="A25" s="0" t="n">
        <v>23</v>
      </c>
      <c r="B25" s="373" t="n">
        <v>25217</v>
      </c>
      <c r="C25" s="373" t="n">
        <v>24938</v>
      </c>
      <c r="D25" s="30"/>
      <c r="E25" s="30"/>
      <c r="F25" s="280" t="n">
        <f aca="false">+E25-D25+C25-B25</f>
        <v>-279</v>
      </c>
    </row>
    <row r="26" customFormat="false" ht="12.75" hidden="false" customHeight="false" outlineLevel="0" collapsed="false">
      <c r="A26" s="0" t="n">
        <v>24</v>
      </c>
      <c r="B26" s="373" t="n">
        <v>47555</v>
      </c>
      <c r="C26" s="373" t="n">
        <v>47771</v>
      </c>
      <c r="D26" s="30"/>
      <c r="E26" s="30"/>
      <c r="F26" s="280" t="n">
        <f aca="false">+E26-D26+C26-B26</f>
        <v>216</v>
      </c>
    </row>
    <row r="27" customFormat="false" ht="12.75" hidden="false" customHeight="false" outlineLevel="0" collapsed="false">
      <c r="A27" s="0" t="n">
        <v>25</v>
      </c>
      <c r="B27" s="373" t="n">
        <v>61590</v>
      </c>
      <c r="C27" s="373" t="n">
        <v>59450</v>
      </c>
      <c r="D27" s="30"/>
      <c r="E27" s="30"/>
      <c r="F27" s="280" t="n">
        <f aca="false">+E27-D27+C27-B27</f>
        <v>-2140</v>
      </c>
    </row>
    <row r="28" customFormat="false" ht="12.75" hidden="false" customHeight="false" outlineLevel="0" collapsed="false">
      <c r="A28" s="0" t="n">
        <v>26</v>
      </c>
      <c r="B28" s="373" t="n">
        <v>62611</v>
      </c>
      <c r="C28" s="373" t="n">
        <v>59665</v>
      </c>
      <c r="D28" s="30"/>
      <c r="E28" s="30"/>
      <c r="F28" s="280" t="n">
        <f aca="false">+E28-D28+C28-B28</f>
        <v>-2946</v>
      </c>
    </row>
    <row r="29" customFormat="false" ht="12.75" hidden="false" customHeight="false" outlineLevel="0" collapsed="false">
      <c r="A29" s="0" t="n">
        <v>27</v>
      </c>
      <c r="B29" s="373" t="n">
        <v>40004</v>
      </c>
      <c r="C29" s="373" t="n">
        <v>39938</v>
      </c>
      <c r="D29" s="30"/>
      <c r="E29" s="30"/>
      <c r="F29" s="280" t="n">
        <f aca="false">+E29-D29+C29-B29</f>
        <v>-66</v>
      </c>
    </row>
    <row r="30" customFormat="false" ht="12.75" hidden="false" customHeight="false" outlineLevel="0" collapsed="false">
      <c r="A30" s="0" t="n">
        <v>28</v>
      </c>
      <c r="B30" s="373"/>
      <c r="C30" s="373"/>
      <c r="D30" s="30"/>
      <c r="E30" s="30"/>
      <c r="F30" s="280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73"/>
      <c r="C31" s="373"/>
      <c r="D31" s="30"/>
      <c r="E31" s="30"/>
      <c r="F31" s="280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73"/>
      <c r="C32" s="373"/>
      <c r="D32" s="30"/>
      <c r="E32" s="30"/>
      <c r="F32" s="280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73"/>
      <c r="C33" s="373"/>
      <c r="D33" s="30"/>
      <c r="E33" s="30"/>
      <c r="F33" s="280" t="n">
        <f aca="false">+E33-D33+C33-B33</f>
        <v>0</v>
      </c>
    </row>
    <row r="34" customFormat="false" ht="12.75" hidden="false" customHeight="false" outlineLevel="0" collapsed="false">
      <c r="B34" s="374" t="n">
        <f aca="false">SUM(B3:B33)</f>
        <v>1214553</v>
      </c>
      <c r="C34" s="374" t="n">
        <f aca="false">SUM(C3:C33)</f>
        <v>1195644</v>
      </c>
      <c r="D34" s="30" t="n">
        <f aca="false">SUM(D3:D33)</f>
        <v>-965</v>
      </c>
      <c r="E34" s="30" t="n">
        <f aca="false">SUM(E3:E33)</f>
        <v>0</v>
      </c>
      <c r="F34" s="30" t="n">
        <f aca="false">SUM(F3:F33)</f>
        <v>-17944</v>
      </c>
    </row>
    <row r="35" customFormat="false" ht="12.75" hidden="false" customHeight="false" outlineLevel="0" collapsed="false">
      <c r="D35" s="30"/>
      <c r="E35" s="30"/>
      <c r="F35" s="30"/>
    </row>
    <row r="36" customFormat="false" ht="12.75" hidden="false" customHeight="false" outlineLevel="0" collapsed="false">
      <c r="F36" s="155"/>
    </row>
    <row r="37" customFormat="false" ht="12.75" hidden="false" customHeight="false" outlineLevel="0" collapsed="false">
      <c r="A37" s="375" t="n">
        <v>37103</v>
      </c>
      <c r="B37" s="30"/>
      <c r="C37" s="30"/>
      <c r="D37" s="30"/>
      <c r="E37" s="30"/>
      <c r="F37" s="154" t="n">
        <f aca="false">120271+30271</f>
        <v>150542</v>
      </c>
    </row>
    <row r="38" customFormat="false" ht="12.75" hidden="false" customHeight="false" outlineLevel="0" collapsed="false">
      <c r="A38" s="375" t="n">
        <v>37130</v>
      </c>
      <c r="B38" s="30"/>
      <c r="C38" s="30"/>
      <c r="D38" s="30"/>
      <c r="E38" s="30"/>
      <c r="F38" s="108" t="n">
        <f aca="false">+F37+F34</f>
        <v>132598</v>
      </c>
    </row>
    <row r="39" customFormat="false" ht="12.75" hidden="false" customHeight="false" outlineLevel="0" collapsed="false">
      <c r="F39" s="59"/>
    </row>
    <row r="40" customFormat="false" ht="12.75" hidden="false" customHeight="false" outlineLevel="0" collapsed="false">
      <c r="F40" s="59"/>
    </row>
    <row r="41" customFormat="false" ht="12.75" hidden="false" customHeight="false" outlineLevel="0" collapsed="false">
      <c r="F41" s="59"/>
    </row>
    <row r="42" customFormat="false" ht="12.75" hidden="false" customHeight="false" outlineLevel="0" collapsed="false">
      <c r="A42" s="9" t="s">
        <v>120</v>
      </c>
      <c r="B42" s="9"/>
      <c r="C42" s="9"/>
      <c r="D42" s="16"/>
      <c r="F42" s="59"/>
    </row>
    <row r="43" customFormat="false" ht="12.75" hidden="false" customHeight="false" outlineLevel="0" collapsed="false">
      <c r="A43" s="124" t="n">
        <f aca="false">+A37</f>
        <v>37103</v>
      </c>
      <c r="B43" s="9"/>
      <c r="C43" s="9"/>
      <c r="D43" s="125" t="n">
        <f aca="false">201367.37+184384.51</f>
        <v>385751.88</v>
      </c>
      <c r="F43" s="59"/>
    </row>
    <row r="44" customFormat="false" ht="12.75" hidden="false" customHeight="false" outlineLevel="0" collapsed="false">
      <c r="A44" s="124" t="n">
        <f aca="false">+A38</f>
        <v>37130</v>
      </c>
      <c r="B44" s="9"/>
      <c r="C44" s="9"/>
      <c r="D44" s="126" t="n">
        <f aca="false">+F34*'by type'!J4</f>
        <v>-50422.64</v>
      </c>
      <c r="F44" s="59"/>
    </row>
    <row r="45" customFormat="false" ht="12.75" hidden="false" customHeight="false" outlineLevel="0" collapsed="false">
      <c r="A45" s="9"/>
      <c r="B45" s="9"/>
      <c r="C45" s="9"/>
      <c r="D45" s="58" t="n">
        <f aca="false">+D44+D43</f>
        <v>335329.24</v>
      </c>
      <c r="F45" s="59"/>
    </row>
    <row r="46" customFormat="false" ht="12.75" hidden="false" customHeight="false" outlineLevel="0" collapsed="false">
      <c r="F46" s="59"/>
    </row>
    <row r="47" customFormat="false" ht="12.75" hidden="false" customHeight="false" outlineLevel="0" collapsed="false">
      <c r="F47" s="59"/>
    </row>
    <row r="48" customFormat="false" ht="12.75" hidden="false" customHeight="false" outlineLevel="0" collapsed="false">
      <c r="F48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31" activeCellId="3" sqref="D42 C33 B36 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6" t="n">
        <v>56696</v>
      </c>
      <c r="B1" s="157"/>
    </row>
    <row r="3" customFormat="false" ht="12.75" hidden="false" customHeight="false" outlineLevel="0" collapsed="false">
      <c r="A3" s="75" t="s">
        <v>113</v>
      </c>
      <c r="B3" s="101" t="s">
        <v>114</v>
      </c>
      <c r="C3" s="101" t="s">
        <v>115</v>
      </c>
    </row>
    <row r="4" customFormat="false" ht="12.75" hidden="false" customHeight="false" outlineLevel="0" collapsed="false">
      <c r="A4" s="107" t="n">
        <v>1</v>
      </c>
      <c r="B4" s="108" t="n">
        <v>-20818</v>
      </c>
      <c r="C4" s="108" t="n">
        <v>-20000</v>
      </c>
      <c r="D4" s="120" t="n">
        <f aca="false">+C4-B4</f>
        <v>818</v>
      </c>
    </row>
    <row r="5" customFormat="false" ht="12.75" hidden="false" customHeight="false" outlineLevel="0" collapsed="false">
      <c r="A5" s="107" t="n">
        <v>2</v>
      </c>
      <c r="B5" s="108" t="n">
        <v>-19999</v>
      </c>
      <c r="C5" s="108" t="n">
        <v>-20000</v>
      </c>
      <c r="D5" s="120" t="n">
        <f aca="false">+C5-B5</f>
        <v>-1</v>
      </c>
    </row>
    <row r="6" customFormat="false" ht="12.75" hidden="false" customHeight="false" outlineLevel="0" collapsed="false">
      <c r="A6" s="107" t="n">
        <v>3</v>
      </c>
      <c r="B6" s="108" t="n">
        <v>-21734</v>
      </c>
      <c r="C6" s="108" t="n">
        <v>-20609</v>
      </c>
      <c r="D6" s="120" t="n">
        <f aca="false">+C6-B6</f>
        <v>1125</v>
      </c>
    </row>
    <row r="7" customFormat="false" ht="12.75" hidden="false" customHeight="false" outlineLevel="0" collapsed="false">
      <c r="A7" s="107" t="n">
        <v>4</v>
      </c>
      <c r="B7" s="108" t="n">
        <v>-20009</v>
      </c>
      <c r="C7" s="108" t="n">
        <v>-20000</v>
      </c>
      <c r="D7" s="120" t="n">
        <f aca="false">+C7-B7</f>
        <v>9</v>
      </c>
    </row>
    <row r="8" customFormat="false" ht="12.75" hidden="false" customHeight="false" outlineLevel="0" collapsed="false">
      <c r="A8" s="107" t="n">
        <v>5</v>
      </c>
      <c r="B8" s="108" t="n">
        <v>-20393</v>
      </c>
      <c r="C8" s="108" t="n">
        <v>-20000</v>
      </c>
      <c r="D8" s="120" t="n">
        <f aca="false">+C8-B8</f>
        <v>393</v>
      </c>
    </row>
    <row r="9" customFormat="false" ht="12.75" hidden="false" customHeight="false" outlineLevel="0" collapsed="false">
      <c r="A9" s="107" t="n">
        <v>6</v>
      </c>
      <c r="B9" s="108" t="n">
        <v>-20508</v>
      </c>
      <c r="C9" s="108" t="n">
        <v>-20000</v>
      </c>
      <c r="D9" s="120" t="n">
        <f aca="false">+C9-B9</f>
        <v>508</v>
      </c>
    </row>
    <row r="10" customFormat="false" ht="12.75" hidden="false" customHeight="false" outlineLevel="0" collapsed="false">
      <c r="A10" s="107" t="n">
        <v>7</v>
      </c>
      <c r="B10" s="108" t="n">
        <v>-20768</v>
      </c>
      <c r="C10" s="108" t="n">
        <v>-20000</v>
      </c>
      <c r="D10" s="120" t="n">
        <f aca="false">+C10-B10</f>
        <v>768</v>
      </c>
    </row>
    <row r="11" customFormat="false" ht="12.75" hidden="false" customHeight="false" outlineLevel="0" collapsed="false">
      <c r="A11" s="107" t="n">
        <v>8</v>
      </c>
      <c r="B11" s="108" t="n">
        <v>-21004</v>
      </c>
      <c r="C11" s="108" t="n">
        <v>-19966</v>
      </c>
      <c r="D11" s="120" t="n">
        <f aca="false">+C11-B11</f>
        <v>1038</v>
      </c>
    </row>
    <row r="12" customFormat="false" ht="12.75" hidden="false" customHeight="false" outlineLevel="0" collapsed="false">
      <c r="A12" s="107" t="n">
        <v>9</v>
      </c>
      <c r="B12" s="108" t="n">
        <v>-20992</v>
      </c>
      <c r="C12" s="108" t="n">
        <v>-20000</v>
      </c>
      <c r="D12" s="120" t="n">
        <f aca="false">+C12-B12</f>
        <v>992</v>
      </c>
    </row>
    <row r="13" customFormat="false" ht="12.75" hidden="false" customHeight="false" outlineLevel="0" collapsed="false">
      <c r="A13" s="107" t="n">
        <v>10</v>
      </c>
      <c r="B13" s="108" t="n">
        <v>-21007</v>
      </c>
      <c r="C13" s="108" t="n">
        <v>-20702</v>
      </c>
      <c r="D13" s="120" t="n">
        <f aca="false">+C13-B13</f>
        <v>305</v>
      </c>
    </row>
    <row r="14" customFormat="false" ht="12.75" hidden="false" customHeight="false" outlineLevel="0" collapsed="false">
      <c r="A14" s="107" t="n">
        <v>11</v>
      </c>
      <c r="B14" s="108" t="n">
        <v>-20996</v>
      </c>
      <c r="C14" s="108" t="n">
        <v>-19967</v>
      </c>
      <c r="D14" s="120" t="n">
        <f aca="false">+C14-B14</f>
        <v>1029</v>
      </c>
    </row>
    <row r="15" customFormat="false" ht="12.75" hidden="false" customHeight="false" outlineLevel="0" collapsed="false">
      <c r="A15" s="107" t="n">
        <v>12</v>
      </c>
      <c r="B15" s="108" t="n">
        <v>-20140</v>
      </c>
      <c r="C15" s="108" t="n">
        <v>-19726</v>
      </c>
      <c r="D15" s="120" t="n">
        <f aca="false">+C15-B15</f>
        <v>414</v>
      </c>
    </row>
    <row r="16" customFormat="false" ht="12.75" hidden="false" customHeight="false" outlineLevel="0" collapsed="false">
      <c r="A16" s="107" t="n">
        <v>13</v>
      </c>
      <c r="B16" s="108" t="n">
        <v>-19791</v>
      </c>
      <c r="C16" s="108" t="n">
        <v>-20000</v>
      </c>
      <c r="D16" s="120" t="n">
        <f aca="false">+C16-B16</f>
        <v>-209</v>
      </c>
    </row>
    <row r="17" customFormat="false" ht="12.75" hidden="false" customHeight="false" outlineLevel="0" collapsed="false">
      <c r="A17" s="107" t="n">
        <v>14</v>
      </c>
      <c r="B17" s="108" t="n">
        <v>-20311</v>
      </c>
      <c r="C17" s="108" t="n">
        <v>-20000</v>
      </c>
      <c r="D17" s="120" t="n">
        <f aca="false">+C17-B17</f>
        <v>311</v>
      </c>
    </row>
    <row r="18" customFormat="false" ht="12.75" hidden="false" customHeight="false" outlineLevel="0" collapsed="false">
      <c r="A18" s="107" t="n">
        <v>15</v>
      </c>
      <c r="B18" s="108" t="n">
        <v>-26129</v>
      </c>
      <c r="C18" s="108" t="n">
        <v>-25702</v>
      </c>
      <c r="D18" s="120" t="n">
        <f aca="false">+C18-B18</f>
        <v>427</v>
      </c>
    </row>
    <row r="19" customFormat="false" ht="12.75" hidden="false" customHeight="false" outlineLevel="0" collapsed="false">
      <c r="A19" s="107" t="n">
        <v>16</v>
      </c>
      <c r="B19" s="108" t="n">
        <v>-20992</v>
      </c>
      <c r="C19" s="108" t="n">
        <v>-20000</v>
      </c>
      <c r="D19" s="120" t="n">
        <f aca="false">+C19-B19</f>
        <v>992</v>
      </c>
    </row>
    <row r="20" customFormat="false" ht="12.75" hidden="false" customHeight="false" outlineLevel="0" collapsed="false">
      <c r="A20" s="107" t="n">
        <v>17</v>
      </c>
      <c r="B20" s="108" t="n">
        <v>-20037</v>
      </c>
      <c r="C20" s="108" t="n">
        <v>-20000</v>
      </c>
      <c r="D20" s="120" t="n">
        <f aca="false">+C20-B20</f>
        <v>37</v>
      </c>
    </row>
    <row r="21" customFormat="false" ht="12.75" hidden="false" customHeight="false" outlineLevel="0" collapsed="false">
      <c r="A21" s="107" t="n">
        <v>18</v>
      </c>
      <c r="B21" s="108" t="n">
        <v>-24168</v>
      </c>
      <c r="C21" s="108" t="n">
        <v>-23202</v>
      </c>
      <c r="D21" s="120" t="n">
        <f aca="false">+C21-B21</f>
        <v>966</v>
      </c>
    </row>
    <row r="22" customFormat="false" ht="12.75" hidden="false" customHeight="false" outlineLevel="0" collapsed="false">
      <c r="A22" s="107" t="n">
        <v>19</v>
      </c>
      <c r="B22" s="108" t="n">
        <v>-23086</v>
      </c>
      <c r="C22" s="108" t="n">
        <v>-23202</v>
      </c>
      <c r="D22" s="120" t="n">
        <f aca="false">+C22-B22</f>
        <v>-116</v>
      </c>
    </row>
    <row r="23" customFormat="false" ht="12.75" hidden="false" customHeight="false" outlineLevel="0" collapsed="false">
      <c r="A23" s="107" t="n">
        <v>20</v>
      </c>
      <c r="B23" s="108" t="n">
        <v>-23625</v>
      </c>
      <c r="C23" s="108" t="n">
        <v>-23202</v>
      </c>
      <c r="D23" s="120" t="n">
        <f aca="false">+C23-B23</f>
        <v>423</v>
      </c>
    </row>
    <row r="24" customFormat="false" ht="12.75" hidden="false" customHeight="false" outlineLevel="0" collapsed="false">
      <c r="A24" s="107" t="n">
        <v>21</v>
      </c>
      <c r="B24" s="108" t="n">
        <v>-21002</v>
      </c>
      <c r="C24" s="108" t="n">
        <v>-20468</v>
      </c>
      <c r="D24" s="120" t="n">
        <f aca="false">+C24-B24</f>
        <v>534</v>
      </c>
    </row>
    <row r="25" customFormat="false" ht="12.75" hidden="false" customHeight="false" outlineLevel="0" collapsed="false">
      <c r="A25" s="107" t="n">
        <v>22</v>
      </c>
      <c r="B25" s="108" t="n">
        <v>-20992</v>
      </c>
      <c r="C25" s="108" t="n">
        <v>-20468</v>
      </c>
      <c r="D25" s="120" t="n">
        <f aca="false">+C25-B25</f>
        <v>524</v>
      </c>
    </row>
    <row r="26" customFormat="false" ht="12.75" hidden="false" customHeight="false" outlineLevel="0" collapsed="false">
      <c r="A26" s="107" t="n">
        <v>23</v>
      </c>
      <c r="B26" s="108" t="n">
        <v>-21004</v>
      </c>
      <c r="C26" s="108" t="n">
        <v>-20000</v>
      </c>
      <c r="D26" s="120" t="n">
        <f aca="false">+C26-B26</f>
        <v>1004</v>
      </c>
    </row>
    <row r="27" customFormat="false" ht="12.75" hidden="false" customHeight="false" outlineLevel="0" collapsed="false">
      <c r="A27" s="107" t="n">
        <v>24</v>
      </c>
      <c r="B27" s="108" t="n">
        <v>-20997</v>
      </c>
      <c r="C27" s="108" t="n">
        <v>-19966</v>
      </c>
      <c r="D27" s="120" t="n">
        <f aca="false">+C27-B27</f>
        <v>1031</v>
      </c>
    </row>
    <row r="28" customFormat="false" ht="12.75" hidden="false" customHeight="false" outlineLevel="0" collapsed="false">
      <c r="A28" s="107" t="n">
        <v>25</v>
      </c>
      <c r="B28" s="108" t="n">
        <v>-21000</v>
      </c>
      <c r="C28" s="108" t="n">
        <v>-20000</v>
      </c>
      <c r="D28" s="120" t="n">
        <f aca="false">+C28-B28</f>
        <v>1000</v>
      </c>
    </row>
    <row r="29" customFormat="false" ht="12.75" hidden="false" customHeight="false" outlineLevel="0" collapsed="false">
      <c r="A29" s="107" t="n">
        <v>26</v>
      </c>
      <c r="B29" s="108" t="n">
        <v>-21002</v>
      </c>
      <c r="C29" s="108" t="n">
        <v>-20000</v>
      </c>
      <c r="D29" s="120" t="n">
        <f aca="false">+C29-B29</f>
        <v>1002</v>
      </c>
    </row>
    <row r="30" customFormat="false" ht="12.75" hidden="false" customHeight="false" outlineLevel="0" collapsed="false">
      <c r="A30" s="107" t="n">
        <v>27</v>
      </c>
      <c r="B30" s="108" t="n">
        <v>-19508</v>
      </c>
      <c r="C30" s="108" t="n">
        <v>-20000</v>
      </c>
      <c r="D30" s="120" t="n">
        <f aca="false">+C30-B30</f>
        <v>-492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-572012</v>
      </c>
      <c r="C35" s="108" t="n">
        <f aca="false">SUM(C4:C34)</f>
        <v>-557180</v>
      </c>
      <c r="D35" s="108" t="n">
        <f aca="false">SUM(D4:D34)</f>
        <v>14832</v>
      </c>
    </row>
    <row r="36" customFormat="false" ht="12.75" hidden="false" customHeight="false" outlineLevel="0" collapsed="false">
      <c r="A36" s="134"/>
      <c r="B36" s="108"/>
      <c r="C36" s="120"/>
      <c r="D36" s="19"/>
    </row>
    <row r="37" customFormat="false" ht="12.75" hidden="false" customHeight="false" outlineLevel="0" collapsed="false">
      <c r="D37" s="108"/>
    </row>
    <row r="38" customFormat="false" ht="12.75" hidden="false" customHeight="false" outlineLevel="0" collapsed="false">
      <c r="A38" s="152" t="n">
        <v>37103</v>
      </c>
      <c r="D38" s="154" t="n">
        <v>135803</v>
      </c>
    </row>
    <row r="39" customFormat="false" ht="12.75" hidden="false" customHeight="false" outlineLevel="0" collapsed="false">
      <c r="A39" s="19"/>
      <c r="D39" s="108"/>
    </row>
    <row r="40" customFormat="false" ht="12.75" hidden="false" customHeight="false" outlineLevel="0" collapsed="false">
      <c r="A40" s="152" t="n">
        <v>37130</v>
      </c>
      <c r="D40" s="108" t="n">
        <f aca="false">+D38+D35</f>
        <v>150635</v>
      </c>
    </row>
    <row r="44" customFormat="false" ht="12.75" hidden="false" customHeight="false" outlineLevel="0" collapsed="false">
      <c r="A44" s="9" t="s">
        <v>120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58" t="n">
        <v>82140</v>
      </c>
    </row>
    <row r="46" customFormat="false" ht="12.75" hidden="false" customHeight="false" outlineLevel="0" collapsed="false">
      <c r="A46" s="124" t="n">
        <f aca="false">+A40</f>
        <v>37130</v>
      </c>
      <c r="B46" s="9"/>
      <c r="C46" s="9"/>
      <c r="D46" s="126" t="n">
        <f aca="false">+D35*'by type'!J4</f>
        <v>41677.92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123817.92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28" activeCellId="3" sqref="C8 G32 E7 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8" t="n">
        <v>500249</v>
      </c>
      <c r="D1" s="98" t="n">
        <v>500260</v>
      </c>
      <c r="F1" s="98" t="n">
        <v>500646</v>
      </c>
      <c r="H1" s="98" t="n">
        <v>500598</v>
      </c>
    </row>
    <row r="2" customFormat="false" ht="12.75" hidden="false" customHeight="false" outlineLevel="0" collapsed="false">
      <c r="B2" s="99" t="s">
        <v>190</v>
      </c>
      <c r="C2" s="100"/>
      <c r="D2" s="144" t="s">
        <v>191</v>
      </c>
      <c r="E2" s="100"/>
      <c r="F2" s="144" t="s">
        <v>192</v>
      </c>
      <c r="G2" s="100"/>
      <c r="H2" s="100"/>
      <c r="I2" s="100"/>
      <c r="J2" s="100"/>
    </row>
    <row r="3" customFormat="false" ht="12.75" hidden="false" customHeight="false" outlineLevel="0" collapsed="false">
      <c r="A3" s="75" t="s">
        <v>113</v>
      </c>
      <c r="B3" s="101" t="s">
        <v>114</v>
      </c>
      <c r="C3" s="101" t="s">
        <v>115</v>
      </c>
      <c r="D3" s="101" t="s">
        <v>114</v>
      </c>
      <c r="E3" s="101" t="s">
        <v>115</v>
      </c>
      <c r="F3" s="101" t="s">
        <v>114</v>
      </c>
      <c r="G3" s="101" t="s">
        <v>115</v>
      </c>
      <c r="H3" s="101" t="s">
        <v>114</v>
      </c>
      <c r="I3" s="101" t="s">
        <v>115</v>
      </c>
      <c r="J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26125</v>
      </c>
      <c r="C4" s="108" t="n">
        <v>26316</v>
      </c>
      <c r="D4" s="108" t="n">
        <v>9809</v>
      </c>
      <c r="E4" s="108" t="n">
        <v>8750</v>
      </c>
      <c r="F4" s="108"/>
      <c r="G4" s="108"/>
      <c r="H4" s="108"/>
      <c r="I4" s="108"/>
      <c r="J4" s="108" t="n">
        <f aca="false">+C4+E4+G4+I4-H4-F4-D4-B4</f>
        <v>-868</v>
      </c>
      <c r="N4" s="105"/>
      <c r="O4" s="105"/>
      <c r="P4" s="105"/>
      <c r="Q4" s="105"/>
      <c r="R4" s="105"/>
      <c r="S4" s="18"/>
      <c r="T4" s="106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25579</v>
      </c>
      <c r="C5" s="108" t="n">
        <v>26140</v>
      </c>
      <c r="D5" s="108" t="n">
        <v>9577</v>
      </c>
      <c r="E5" s="108" t="n">
        <v>8750</v>
      </c>
      <c r="F5" s="108"/>
      <c r="G5" s="108"/>
      <c r="H5" s="108"/>
      <c r="I5" s="108" t="n">
        <v>176</v>
      </c>
      <c r="J5" s="108" t="n">
        <f aca="false">+C5+E5+G5+I5-H5-F5-D5-B5</f>
        <v>-90</v>
      </c>
      <c r="R5" s="30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08" t="n">
        <v>25083</v>
      </c>
      <c r="C6" s="108" t="n">
        <v>26316</v>
      </c>
      <c r="D6" s="108" t="n">
        <v>9649</v>
      </c>
      <c r="E6" s="108" t="n">
        <v>8750</v>
      </c>
      <c r="F6" s="108"/>
      <c r="G6" s="108"/>
      <c r="H6" s="108"/>
      <c r="I6" s="108"/>
      <c r="J6" s="108" t="n">
        <f aca="false">+C6+E6+G6+I6-H6-F6-D6-B6</f>
        <v>334</v>
      </c>
      <c r="N6" s="113"/>
      <c r="O6" s="113"/>
      <c r="P6" s="113"/>
      <c r="Q6" s="113"/>
      <c r="R6" s="113"/>
      <c r="S6" s="114"/>
      <c r="T6" s="115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08" t="n">
        <v>24738</v>
      </c>
      <c r="C7" s="108" t="n">
        <v>26069</v>
      </c>
      <c r="D7" s="108" t="n">
        <v>9083</v>
      </c>
      <c r="E7" s="108" t="n">
        <v>8668</v>
      </c>
      <c r="F7" s="108"/>
      <c r="G7" s="108"/>
      <c r="H7" s="108"/>
      <c r="I7" s="108"/>
      <c r="J7" s="108" t="n">
        <f aca="false">+C7+E7+G7+I7-H7-F7-D7-B7</f>
        <v>916</v>
      </c>
      <c r="N7" s="113"/>
      <c r="Q7" s="194"/>
      <c r="R7" s="113"/>
      <c r="S7" s="116"/>
      <c r="T7" s="115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08" t="n">
        <v>24635</v>
      </c>
      <c r="C8" s="108" t="n">
        <v>26316</v>
      </c>
      <c r="D8" s="108" t="n">
        <v>9400</v>
      </c>
      <c r="E8" s="108" t="n">
        <v>8750</v>
      </c>
      <c r="F8" s="108"/>
      <c r="G8" s="108"/>
      <c r="H8" s="108"/>
      <c r="I8" s="108"/>
      <c r="J8" s="108" t="n">
        <f aca="false">+C8+E8+G8+I8-H8-F8-D8-B8</f>
        <v>1031</v>
      </c>
      <c r="N8" s="113"/>
      <c r="Q8" s="194"/>
      <c r="R8" s="113"/>
      <c r="S8" s="116"/>
      <c r="T8" s="115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08" t="n">
        <v>24092</v>
      </c>
      <c r="C9" s="108" t="n">
        <v>26316</v>
      </c>
      <c r="D9" s="108" t="n">
        <v>9085</v>
      </c>
      <c r="E9" s="108" t="n">
        <v>8750</v>
      </c>
      <c r="F9" s="108"/>
      <c r="G9" s="108"/>
      <c r="H9" s="108"/>
      <c r="I9" s="108"/>
      <c r="J9" s="108" t="n">
        <f aca="false">+C9+E9+G9+I9-H9-F9-D9-B9</f>
        <v>1889</v>
      </c>
      <c r="N9" s="113"/>
      <c r="Q9" s="194"/>
      <c r="R9" s="113"/>
      <c r="S9" s="116"/>
      <c r="T9" s="115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08" t="n">
        <v>23913</v>
      </c>
      <c r="C10" s="108" t="n">
        <v>26316</v>
      </c>
      <c r="D10" s="108" t="n">
        <v>7801</v>
      </c>
      <c r="E10" s="108" t="n">
        <v>8750</v>
      </c>
      <c r="F10" s="108"/>
      <c r="G10" s="108"/>
      <c r="H10" s="108" t="n">
        <v>67</v>
      </c>
      <c r="I10" s="108"/>
      <c r="J10" s="108" t="n">
        <f aca="false">+C10+E10+G10+I10-H10-F10-D10-B10</f>
        <v>3285</v>
      </c>
      <c r="N10" s="113"/>
      <c r="Q10" s="194"/>
      <c r="R10" s="113"/>
      <c r="S10" s="116"/>
      <c r="T10" s="115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 t="n">
        <v>23713</v>
      </c>
      <c r="C11" s="108" t="n">
        <v>26316</v>
      </c>
      <c r="D11" s="108" t="n">
        <v>9583</v>
      </c>
      <c r="E11" s="108" t="n">
        <v>8750</v>
      </c>
      <c r="F11" s="108"/>
      <c r="G11" s="108"/>
      <c r="H11" s="108"/>
      <c r="I11" s="108"/>
      <c r="J11" s="108" t="n">
        <f aca="false">+C11+E11+G11+I11-H11-F11-D11-B11</f>
        <v>1770</v>
      </c>
      <c r="N11" s="113"/>
      <c r="Q11" s="195"/>
      <c r="R11" s="113"/>
      <c r="S11" s="116"/>
      <c r="T11" s="115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 t="n">
        <v>23424</v>
      </c>
      <c r="C12" s="108" t="n">
        <v>22812</v>
      </c>
      <c r="D12" s="108" t="n">
        <v>9134</v>
      </c>
      <c r="E12" s="108" t="n">
        <v>8248</v>
      </c>
      <c r="F12" s="108"/>
      <c r="G12" s="108"/>
      <c r="H12" s="108"/>
      <c r="I12" s="108"/>
      <c r="J12" s="108" t="n">
        <f aca="false">+C12+E12+G12+I12-H12-F12-D12-B12</f>
        <v>-1498</v>
      </c>
      <c r="N12" s="113"/>
      <c r="Q12" s="195"/>
      <c r="R12" s="113"/>
      <c r="S12" s="116"/>
      <c r="T12" s="115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 t="n">
        <v>23086</v>
      </c>
      <c r="C13" s="108" t="n">
        <v>22816</v>
      </c>
      <c r="D13" s="108" t="n">
        <v>9222</v>
      </c>
      <c r="E13" s="108" t="n">
        <v>8250</v>
      </c>
      <c r="F13" s="108"/>
      <c r="G13" s="108"/>
      <c r="H13" s="108"/>
      <c r="I13" s="108"/>
      <c r="J13" s="108" t="n">
        <f aca="false">+C13+E13+G13+I13-H13-F13-D13-B13</f>
        <v>-1242</v>
      </c>
      <c r="N13" s="113"/>
      <c r="Q13" s="195"/>
      <c r="R13" s="113"/>
      <c r="S13" s="116"/>
      <c r="T13" s="115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 t="n">
        <v>22763</v>
      </c>
      <c r="C14" s="108" t="n">
        <v>22784</v>
      </c>
      <c r="D14" s="108" t="n">
        <v>9130</v>
      </c>
      <c r="E14" s="108" t="n">
        <v>8239</v>
      </c>
      <c r="F14" s="108"/>
      <c r="G14" s="108"/>
      <c r="H14" s="108"/>
      <c r="I14" s="108"/>
      <c r="J14" s="108" t="n">
        <f aca="false">+C14+E14+G14+I14-H14-F14-D14-B14</f>
        <v>-870</v>
      </c>
      <c r="N14" s="113"/>
      <c r="Q14" s="195"/>
      <c r="R14" s="113"/>
      <c r="S14" s="116"/>
      <c r="T14" s="115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 t="n">
        <v>22755</v>
      </c>
      <c r="C15" s="108" t="n">
        <v>22796</v>
      </c>
      <c r="D15" s="108" t="n">
        <v>9161</v>
      </c>
      <c r="E15" s="108" t="n">
        <v>8243</v>
      </c>
      <c r="F15" s="108"/>
      <c r="G15" s="108"/>
      <c r="H15" s="108"/>
      <c r="I15" s="108"/>
      <c r="J15" s="108" t="n">
        <f aca="false">+C15+E15+G15+I15-H15-F15-D15-B15</f>
        <v>-877</v>
      </c>
      <c r="N15" s="113"/>
      <c r="Q15" s="195"/>
      <c r="R15" s="113"/>
      <c r="S15" s="116"/>
      <c r="T15" s="115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 t="n">
        <v>22602</v>
      </c>
      <c r="C16" s="108" t="n">
        <v>22816</v>
      </c>
      <c r="D16" s="108" t="n">
        <v>8237</v>
      </c>
      <c r="E16" s="108" t="n">
        <v>8250</v>
      </c>
      <c r="F16" s="108"/>
      <c r="G16" s="108"/>
      <c r="H16" s="108"/>
      <c r="I16" s="108"/>
      <c r="J16" s="108" t="n">
        <f aca="false">+C16+E16+G16+I16-H16-F16-D16-B16</f>
        <v>227</v>
      </c>
      <c r="N16" s="113"/>
      <c r="Q16" s="195"/>
      <c r="R16" s="113"/>
      <c r="S16" s="116"/>
      <c r="T16" s="115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 t="n">
        <v>22706</v>
      </c>
      <c r="C17" s="108" t="n">
        <v>22816</v>
      </c>
      <c r="D17" s="108" t="n">
        <v>9219</v>
      </c>
      <c r="E17" s="108" t="n">
        <v>8250</v>
      </c>
      <c r="F17" s="108"/>
      <c r="G17" s="108"/>
      <c r="H17" s="108"/>
      <c r="I17" s="108"/>
      <c r="J17" s="108" t="n">
        <f aca="false">+C17+E17+G17+I17-H17-F17-D17-B17</f>
        <v>-859</v>
      </c>
      <c r="N17" s="113"/>
      <c r="R17" s="113"/>
      <c r="S17" s="114"/>
      <c r="T17" s="115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 t="n">
        <v>22564</v>
      </c>
      <c r="C18" s="108" t="n">
        <v>22816</v>
      </c>
      <c r="D18" s="108" t="n">
        <v>9531</v>
      </c>
      <c r="E18" s="108" t="n">
        <v>8250</v>
      </c>
      <c r="F18" s="108"/>
      <c r="G18" s="108"/>
      <c r="H18" s="108"/>
      <c r="I18" s="108"/>
      <c r="J18" s="108" t="n">
        <f aca="false">+C18+E18+G18+I18-H18-F18-D18-B18</f>
        <v>-1029</v>
      </c>
      <c r="N18" s="113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 t="n">
        <v>22545</v>
      </c>
      <c r="C19" s="108" t="n">
        <v>22418</v>
      </c>
      <c r="D19" s="108" t="n">
        <v>9530</v>
      </c>
      <c r="E19" s="108" t="n">
        <v>8106</v>
      </c>
      <c r="F19" s="108"/>
      <c r="G19" s="108"/>
      <c r="H19" s="108"/>
      <c r="I19" s="108"/>
      <c r="J19" s="108" t="n">
        <f aca="false">+C19+E19+G19+I19-H19-F19-D19-B19</f>
        <v>-1551</v>
      </c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 t="n">
        <v>22399</v>
      </c>
      <c r="C20" s="108" t="n">
        <v>22816</v>
      </c>
      <c r="D20" s="108" t="n">
        <v>9520</v>
      </c>
      <c r="E20" s="108" t="n">
        <v>8250</v>
      </c>
      <c r="F20" s="108"/>
      <c r="G20" s="108"/>
      <c r="H20" s="108"/>
      <c r="I20" s="108"/>
      <c r="J20" s="108" t="n">
        <f aca="false">+C20+E20+G20+I20-H20-F20-D20-B20</f>
        <v>-853</v>
      </c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 t="n">
        <v>22559</v>
      </c>
      <c r="C21" s="108" t="n">
        <v>15898</v>
      </c>
      <c r="D21" s="108" t="n">
        <v>9287</v>
      </c>
      <c r="E21" s="108" t="n">
        <v>5749</v>
      </c>
      <c r="F21" s="108"/>
      <c r="G21" s="108"/>
      <c r="H21" s="108"/>
      <c r="I21" s="108"/>
      <c r="J21" s="108" t="n">
        <f aca="false">+C21+E21+G21+I21-H21-F21-D21-B21</f>
        <v>-10199</v>
      </c>
      <c r="N21" s="113"/>
      <c r="O21" s="113"/>
      <c r="P21" s="113"/>
      <c r="Q21" s="113"/>
      <c r="R21" s="113"/>
      <c r="S21" s="116"/>
      <c r="T21" s="115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 t="n">
        <v>22320</v>
      </c>
      <c r="C22" s="108" t="n">
        <v>15898</v>
      </c>
      <c r="D22" s="108" t="n">
        <v>8830</v>
      </c>
      <c r="E22" s="108" t="n">
        <v>5749</v>
      </c>
      <c r="F22" s="108"/>
      <c r="G22" s="108"/>
      <c r="H22" s="108"/>
      <c r="I22" s="108"/>
      <c r="J22" s="108" t="n">
        <f aca="false">+C22+E22+G22+I22-H22-F22-D22-B22</f>
        <v>-9503</v>
      </c>
      <c r="N22" s="113"/>
      <c r="O22" s="113"/>
      <c r="P22" s="113"/>
      <c r="Q22" s="113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 t="n">
        <v>22134</v>
      </c>
      <c r="C23" s="108" t="n">
        <v>17352</v>
      </c>
      <c r="D23" s="108" t="n">
        <v>7841</v>
      </c>
      <c r="E23" s="108" t="n">
        <v>6274</v>
      </c>
      <c r="F23" s="108"/>
      <c r="G23" s="108"/>
      <c r="H23" s="108"/>
      <c r="I23" s="108"/>
      <c r="J23" s="108" t="n">
        <f aca="false">+C23+E23+G23+I23-H23-F23-D23-B23</f>
        <v>-6349</v>
      </c>
      <c r="N23" s="113"/>
      <c r="O23" s="113"/>
      <c r="P23" s="113"/>
      <c r="Q23" s="113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 t="n">
        <v>21998</v>
      </c>
      <c r="C24" s="108" t="n">
        <v>22757</v>
      </c>
      <c r="D24" s="108" t="n">
        <v>7574</v>
      </c>
      <c r="E24" s="108" t="n">
        <v>8229</v>
      </c>
      <c r="F24" s="108"/>
      <c r="G24" s="108"/>
      <c r="H24" s="108"/>
      <c r="I24" s="108"/>
      <c r="J24" s="108" t="n">
        <f aca="false">+C24+E24+G24+I24-H24-F24-D24-B24</f>
        <v>1414</v>
      </c>
      <c r="N24" s="113"/>
      <c r="O24" s="113"/>
      <c r="P24" s="113"/>
      <c r="Q24" s="113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 t="n">
        <v>21990</v>
      </c>
      <c r="C25" s="108" t="n">
        <v>22816</v>
      </c>
      <c r="D25" s="108" t="n">
        <v>9634</v>
      </c>
      <c r="E25" s="108" t="n">
        <v>8250</v>
      </c>
      <c r="F25" s="108"/>
      <c r="G25" s="108"/>
      <c r="H25" s="108"/>
      <c r="I25" s="108"/>
      <c r="J25" s="108" t="n">
        <f aca="false">+C25+E25+G25+I25-H25-F25-D25-B25</f>
        <v>-558</v>
      </c>
      <c r="N25" s="113"/>
      <c r="O25" s="113"/>
      <c r="P25" s="113"/>
      <c r="Q25" s="113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 t="n">
        <v>21678</v>
      </c>
      <c r="C26" s="108" t="n">
        <v>22488</v>
      </c>
      <c r="D26" s="108" t="n">
        <v>8719</v>
      </c>
      <c r="E26" s="108" t="n">
        <v>8131</v>
      </c>
      <c r="F26" s="108"/>
      <c r="G26" s="108"/>
      <c r="H26" s="108"/>
      <c r="I26" s="108"/>
      <c r="J26" s="108" t="n">
        <f aca="false">+C26+E26+G26+I26-H26-F26-D26-B26</f>
        <v>222</v>
      </c>
      <c r="N26" s="113"/>
      <c r="O26" s="113"/>
      <c r="P26" s="113"/>
      <c r="Q26" s="113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 t="n">
        <v>21808</v>
      </c>
      <c r="C27" s="108" t="n">
        <v>22816</v>
      </c>
      <c r="D27" s="108" t="n">
        <v>8539</v>
      </c>
      <c r="E27" s="108" t="n">
        <v>8250</v>
      </c>
      <c r="F27" s="108"/>
      <c r="G27" s="108"/>
      <c r="H27" s="108"/>
      <c r="I27" s="108"/>
      <c r="J27" s="108" t="n">
        <f aca="false">+C27+E27+G27+I27-H27-F27-D27-B27</f>
        <v>719</v>
      </c>
      <c r="N27" s="113"/>
      <c r="O27" s="113"/>
      <c r="P27" s="113"/>
      <c r="Q27" s="113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 t="n">
        <v>21144</v>
      </c>
      <c r="C28" s="108" t="n">
        <v>22699</v>
      </c>
      <c r="D28" s="108" t="n">
        <v>8500</v>
      </c>
      <c r="E28" s="108" t="n">
        <v>8208</v>
      </c>
      <c r="F28" s="108"/>
      <c r="G28" s="108"/>
      <c r="H28" s="108"/>
      <c r="I28" s="108"/>
      <c r="J28" s="108" t="n">
        <f aca="false">+C28+E28+G28+I28-H28-F28-D28-B28</f>
        <v>1263</v>
      </c>
      <c r="N28" s="113"/>
      <c r="O28" s="113"/>
      <c r="P28" s="113"/>
      <c r="Q28" s="113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 t="n">
        <v>21738</v>
      </c>
      <c r="C29" s="108" t="n">
        <v>22530</v>
      </c>
      <c r="D29" s="108" t="n">
        <v>8876</v>
      </c>
      <c r="E29" s="108" t="n">
        <v>8147</v>
      </c>
      <c r="F29" s="108"/>
      <c r="G29" s="108"/>
      <c r="H29" s="108"/>
      <c r="I29" s="108"/>
      <c r="J29" s="108" t="n">
        <f aca="false">+C29+E29+G29+I29-H29-F29-D29-B29</f>
        <v>63</v>
      </c>
      <c r="N29" s="113"/>
      <c r="O29" s="113"/>
      <c r="P29" s="113"/>
      <c r="Q29" s="113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 t="n">
        <v>21482</v>
      </c>
      <c r="C30" s="108" t="n">
        <v>22816</v>
      </c>
      <c r="D30" s="108" t="n">
        <v>9362</v>
      </c>
      <c r="E30" s="108" t="n">
        <v>8250</v>
      </c>
      <c r="F30" s="108"/>
      <c r="G30" s="108"/>
      <c r="H30" s="108"/>
      <c r="I30" s="108"/>
      <c r="J30" s="108" t="n">
        <f aca="false">+C30+E30+G30+I30-H30-F30-D30-B30</f>
        <v>222</v>
      </c>
      <c r="N30" s="113"/>
      <c r="O30" s="113"/>
      <c r="P30" s="113"/>
      <c r="Q30" s="113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N31" s="113"/>
      <c r="O31" s="113"/>
      <c r="P31" s="113"/>
      <c r="Q31" s="113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N32" s="113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N33" s="113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N34" s="113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621573</v>
      </c>
      <c r="C35" s="108" t="n">
        <f aca="false">SUM(C4:C34)</f>
        <v>623065</v>
      </c>
      <c r="D35" s="108" t="n">
        <f aca="false">SUM(D4:D34)</f>
        <v>243833</v>
      </c>
      <c r="E35" s="108" t="n">
        <f aca="false">SUM(E4:E34)</f>
        <v>219241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67</v>
      </c>
      <c r="I35" s="108" t="n">
        <f aca="false">SUM(I4:I34)</f>
        <v>176</v>
      </c>
      <c r="J35" s="108" t="n">
        <f aca="false">SUM(J4:J34)</f>
        <v>-22991</v>
      </c>
      <c r="N35" s="113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J36" s="79" t="n">
        <f aca="false">+summary!H4</f>
        <v>2.81</v>
      </c>
      <c r="N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H37" s="30"/>
      <c r="I37" s="30"/>
      <c r="J37" s="16" t="n">
        <f aca="false">+J36*J35</f>
        <v>-64604.71</v>
      </c>
      <c r="N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J38" s="2"/>
      <c r="N38" s="113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52" t="n">
        <v>37103</v>
      </c>
      <c r="C39" s="120"/>
      <c r="E39" s="120"/>
      <c r="G39" s="120"/>
      <c r="I39" s="120"/>
      <c r="J39" s="207" t="n">
        <v>150097</v>
      </c>
      <c r="N39" s="113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J40" s="131"/>
      <c r="N40" s="113"/>
      <c r="R40" s="113"/>
      <c r="S40" s="114"/>
      <c r="T40" s="115"/>
      <c r="U40" s="63"/>
      <c r="V40" s="79"/>
      <c r="W40" s="110"/>
    </row>
    <row r="41" customFormat="false" ht="12.75" hidden="false" customHeight="false" outlineLevel="0" collapsed="false">
      <c r="A41" s="152" t="n">
        <v>37130</v>
      </c>
      <c r="J41" s="131" t="n">
        <f aca="false">+J39+J37</f>
        <v>85492.29</v>
      </c>
      <c r="N41" s="113"/>
      <c r="R41" s="113"/>
      <c r="S41" s="114"/>
      <c r="T41" s="115"/>
      <c r="U41" s="63"/>
      <c r="V41" s="79"/>
      <c r="W41" s="110"/>
    </row>
    <row r="42" customFormat="false" ht="12.75" hidden="false" customHeight="false" outlineLevel="0" collapsed="false">
      <c r="J42" s="2"/>
      <c r="N42" s="113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N43" s="113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12"/>
      <c r="N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9" t="s">
        <v>125</v>
      </c>
      <c r="B45" s="9"/>
      <c r="C45" s="9"/>
      <c r="D45" s="9"/>
      <c r="E45" s="100"/>
      <c r="F45" s="100"/>
      <c r="G45" s="100"/>
      <c r="H45" s="100"/>
      <c r="I45" s="100"/>
      <c r="J45" s="100"/>
      <c r="K45" s="19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24" t="n">
        <f aca="false">+A39</f>
        <v>37103</v>
      </c>
      <c r="B46" s="9"/>
      <c r="C46" s="9"/>
      <c r="D46" s="301" t="n">
        <v>-60022</v>
      </c>
      <c r="E46" s="101"/>
      <c r="F46" s="101"/>
      <c r="G46" s="101"/>
      <c r="H46" s="101"/>
      <c r="I46" s="101"/>
      <c r="J46" s="101"/>
      <c r="K46" s="19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24" t="n">
        <f aca="false">+A41</f>
        <v>37130</v>
      </c>
      <c r="B47" s="9"/>
      <c r="C47" s="9"/>
      <c r="D47" s="37" t="n">
        <f aca="false">+J35</f>
        <v>-22991</v>
      </c>
      <c r="E47" s="108"/>
      <c r="F47" s="108"/>
      <c r="G47" s="108"/>
      <c r="H47" s="108"/>
      <c r="I47" s="108"/>
      <c r="J47" s="108"/>
      <c r="K47" s="19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-83013</v>
      </c>
      <c r="E48" s="108"/>
      <c r="F48" s="108"/>
      <c r="G48" s="108"/>
      <c r="H48" s="108"/>
      <c r="I48" s="108"/>
      <c r="J48" s="108"/>
      <c r="K48" s="19"/>
      <c r="M48" s="112"/>
      <c r="S48" s="114"/>
    </row>
    <row r="49" customFormat="false" ht="12.75" hidden="false" customHeight="false" outlineLevel="0" collapsed="false">
      <c r="A49" s="127"/>
      <c r="B49" s="128"/>
      <c r="C49" s="129"/>
      <c r="D49" s="129"/>
      <c r="E49" s="108"/>
      <c r="F49" s="108"/>
      <c r="G49" s="108"/>
      <c r="H49" s="108"/>
      <c r="I49" s="108"/>
      <c r="J49" s="108"/>
      <c r="K49" s="19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9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G66" s="108"/>
      <c r="H66" s="108"/>
      <c r="I66" s="108"/>
      <c r="J66" s="108"/>
      <c r="K66" s="19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9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G68" s="108"/>
      <c r="H68" s="108"/>
      <c r="I68" s="108"/>
      <c r="J68" s="108"/>
      <c r="K68" s="19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G69" s="108"/>
      <c r="H69" s="108"/>
      <c r="I69" s="108"/>
      <c r="J69" s="108"/>
      <c r="K69" s="19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9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G71" s="108"/>
      <c r="H71" s="108"/>
      <c r="I71" s="108"/>
      <c r="J71" s="108"/>
      <c r="K71" s="19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G72" s="108"/>
      <c r="H72" s="108"/>
      <c r="I72" s="108"/>
      <c r="J72" s="108"/>
      <c r="K72" s="19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G73" s="108"/>
      <c r="H73" s="108"/>
      <c r="I73" s="108"/>
      <c r="J73" s="108"/>
      <c r="K73" s="19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G74" s="108"/>
      <c r="H74" s="108"/>
      <c r="I74" s="108"/>
      <c r="J74" s="108"/>
      <c r="K74" s="19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G75" s="108"/>
      <c r="H75" s="108"/>
      <c r="I75" s="108"/>
      <c r="J75" s="108"/>
      <c r="K75" s="19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K82" s="19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K83" s="19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34"/>
      <c r="K84" s="19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A85" s="134"/>
      <c r="K85" s="19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4"/>
      <c r="K86" s="19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134"/>
      <c r="K87" s="19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9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0"/>
      <c r="Q255" s="100"/>
      <c r="R255" s="100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01"/>
      <c r="Q256" s="101"/>
      <c r="R256" s="101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08"/>
      <c r="Q257" s="108"/>
      <c r="R257" s="108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08"/>
      <c r="Q258" s="108"/>
      <c r="R258" s="108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08"/>
      <c r="Q259" s="108"/>
      <c r="R259" s="108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08"/>
      <c r="Q260" s="108"/>
      <c r="R260" s="108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08"/>
      <c r="Q261" s="108"/>
      <c r="R261" s="108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08"/>
      <c r="Q262" s="108"/>
      <c r="R262" s="108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08"/>
      <c r="Q263" s="108"/>
      <c r="R263" s="108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08"/>
      <c r="Q264" s="108"/>
      <c r="R264" s="108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08"/>
      <c r="Q265" s="108"/>
      <c r="R265" s="108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08"/>
      <c r="Q266" s="108"/>
      <c r="R266" s="108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08"/>
      <c r="Q267" s="108"/>
      <c r="R267" s="108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08"/>
      <c r="Q268" s="108"/>
      <c r="R268" s="108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08"/>
      <c r="Q269" s="108"/>
      <c r="R269" s="108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08"/>
      <c r="Q270" s="108"/>
      <c r="R270" s="108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08"/>
      <c r="Q271" s="108"/>
      <c r="R271" s="108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08"/>
      <c r="Q272" s="108"/>
      <c r="R272" s="108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08"/>
      <c r="Q273" s="108"/>
      <c r="R273" s="108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08"/>
      <c r="Q274" s="108"/>
      <c r="R274" s="108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08"/>
      <c r="Q275" s="108"/>
      <c r="R275" s="108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08"/>
      <c r="Q276" s="108"/>
      <c r="R276" s="108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08"/>
      <c r="Q277" s="108"/>
      <c r="R277" s="108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08"/>
      <c r="Q278" s="108"/>
      <c r="R278" s="108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08"/>
      <c r="Q279" s="108"/>
      <c r="R279" s="108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08"/>
      <c r="Q280" s="108"/>
      <c r="R280" s="108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08"/>
      <c r="Q281" s="108"/>
      <c r="R281" s="108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08"/>
      <c r="Q282" s="108"/>
      <c r="R282" s="108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08"/>
      <c r="Q283" s="108"/>
      <c r="R283" s="108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08"/>
      <c r="Q284" s="108"/>
      <c r="R284" s="108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08"/>
      <c r="Q285" s="108"/>
      <c r="R285" s="108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08"/>
      <c r="Q286" s="108"/>
      <c r="R286" s="108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08"/>
      <c r="Q287" s="108"/>
      <c r="R287" s="108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08"/>
      <c r="Q288" s="108"/>
      <c r="R288" s="108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9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0"/>
      <c r="Q296" s="100"/>
      <c r="R296" s="100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01"/>
      <c r="Q297" s="101"/>
      <c r="R297" s="101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08"/>
      <c r="Q298" s="108"/>
      <c r="R298" s="108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08"/>
      <c r="Q299" s="108"/>
      <c r="R299" s="108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08"/>
      <c r="Q300" s="108"/>
      <c r="R300" s="108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08"/>
      <c r="Q301" s="108"/>
      <c r="R301" s="108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08"/>
      <c r="Q302" s="108"/>
      <c r="R302" s="108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08"/>
      <c r="Q303" s="108"/>
      <c r="R303" s="108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08"/>
      <c r="Q304" s="108"/>
      <c r="R304" s="108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08"/>
      <c r="Q305" s="108"/>
      <c r="R305" s="108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08"/>
      <c r="Q306" s="108"/>
      <c r="R306" s="108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08"/>
      <c r="Q307" s="108"/>
      <c r="R307" s="108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08"/>
      <c r="Q308" s="108"/>
      <c r="R308" s="108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08"/>
      <c r="Q309" s="108"/>
      <c r="R309" s="108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08"/>
      <c r="Q310" s="108"/>
      <c r="R310" s="108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08"/>
      <c r="Q311" s="108"/>
      <c r="R311" s="108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08"/>
      <c r="Q312" s="108"/>
      <c r="R312" s="108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08"/>
      <c r="Q313" s="108"/>
      <c r="R313" s="108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08"/>
      <c r="Q314" s="108"/>
      <c r="R314" s="108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08"/>
      <c r="Q315" s="108"/>
      <c r="R315" s="108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08"/>
      <c r="Q316" s="108"/>
      <c r="R316" s="108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08"/>
      <c r="Q317" s="108"/>
      <c r="R317" s="108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08"/>
      <c r="Q318" s="108"/>
      <c r="R318" s="108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08"/>
      <c r="Q319" s="108"/>
      <c r="R319" s="108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08"/>
      <c r="Q320" s="108"/>
      <c r="R320" s="108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08"/>
      <c r="Q321" s="108"/>
      <c r="R321" s="108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08"/>
      <c r="Q322" s="108"/>
      <c r="R322" s="108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08"/>
      <c r="Q323" s="108"/>
      <c r="R323" s="108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08"/>
      <c r="Q324" s="108"/>
      <c r="R324" s="108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08"/>
      <c r="Q325" s="108"/>
      <c r="R325" s="108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08"/>
      <c r="Q326" s="108"/>
      <c r="R326" s="108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08"/>
      <c r="Q327" s="108"/>
      <c r="R327" s="108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08"/>
      <c r="Q328" s="108"/>
      <c r="R328" s="108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08"/>
      <c r="Q329" s="108"/>
      <c r="R329" s="108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20"/>
      <c r="R332" s="120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9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0"/>
      <c r="Q338" s="100"/>
      <c r="R338" s="100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01"/>
      <c r="Q339" s="101"/>
      <c r="R339" s="101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08"/>
      <c r="Q340" s="108"/>
      <c r="R340" s="108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08"/>
      <c r="Q341" s="108"/>
      <c r="R341" s="108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08"/>
      <c r="Q342" s="108"/>
      <c r="R342" s="108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08"/>
      <c r="Q343" s="108"/>
      <c r="R343" s="108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08"/>
      <c r="Q344" s="108"/>
      <c r="R344" s="108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08"/>
      <c r="Q345" s="108"/>
      <c r="R345" s="108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08"/>
      <c r="Q346" s="108"/>
      <c r="R346" s="108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08"/>
      <c r="Q347" s="108"/>
      <c r="R347" s="108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08"/>
      <c r="Q348" s="108"/>
      <c r="R348" s="108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08"/>
      <c r="Q349" s="108"/>
      <c r="R349" s="108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08"/>
      <c r="Q350" s="108"/>
      <c r="R350" s="108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08"/>
      <c r="Q351" s="108"/>
      <c r="R351" s="108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08"/>
      <c r="Q352" s="108"/>
      <c r="R352" s="108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08"/>
      <c r="Q353" s="108"/>
      <c r="R353" s="108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08"/>
      <c r="Q354" s="108"/>
      <c r="R354" s="108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08"/>
      <c r="Q355" s="108"/>
      <c r="R355" s="108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08"/>
      <c r="Q356" s="108"/>
      <c r="R356" s="108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08"/>
      <c r="Q357" s="108"/>
      <c r="R357" s="108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08"/>
      <c r="Q358" s="108"/>
      <c r="R358" s="108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08"/>
      <c r="Q359" s="108"/>
      <c r="R359" s="108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08"/>
      <c r="Q360" s="108"/>
      <c r="R360" s="108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08"/>
      <c r="Q361" s="108"/>
      <c r="R361" s="108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08"/>
      <c r="Q362" s="108"/>
      <c r="R362" s="108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08"/>
      <c r="Q363" s="108"/>
      <c r="R363" s="108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08"/>
      <c r="Q364" s="108"/>
      <c r="R364" s="108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08"/>
      <c r="Q365" s="108"/>
      <c r="R365" s="108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08"/>
      <c r="Q366" s="108"/>
      <c r="R366" s="108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08"/>
      <c r="Q367" s="108"/>
      <c r="R367" s="108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08"/>
      <c r="Q368" s="108"/>
      <c r="R368" s="108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08"/>
      <c r="Q369" s="108"/>
      <c r="R369" s="108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08"/>
      <c r="Q370" s="108"/>
      <c r="R370" s="108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08"/>
      <c r="Q371" s="108"/>
      <c r="R371" s="108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20"/>
      <c r="R374" s="120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9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0"/>
      <c r="Q380" s="100"/>
      <c r="R380" s="100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01"/>
      <c r="Q381" s="101"/>
      <c r="R381" s="101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08"/>
      <c r="Q382" s="108"/>
      <c r="R382" s="108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08"/>
      <c r="Q383" s="108"/>
      <c r="R383" s="108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08"/>
      <c r="Q384" s="108"/>
      <c r="R384" s="108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08"/>
      <c r="Q385" s="108"/>
      <c r="R385" s="108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08"/>
      <c r="Q386" s="108"/>
      <c r="R386" s="108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08"/>
      <c r="Q387" s="108"/>
      <c r="R387" s="108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08"/>
      <c r="Q388" s="108"/>
      <c r="R388" s="108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08"/>
      <c r="Q389" s="108"/>
      <c r="R389" s="108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08"/>
      <c r="Q390" s="108"/>
      <c r="R390" s="108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08"/>
      <c r="Q391" s="108"/>
      <c r="R391" s="108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08"/>
      <c r="Q392" s="108"/>
      <c r="R392" s="108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08"/>
      <c r="Q393" s="108"/>
      <c r="R393" s="108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08"/>
      <c r="Q394" s="108"/>
      <c r="R394" s="108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08"/>
      <c r="Q395" s="108"/>
      <c r="R395" s="108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08"/>
      <c r="Q396" s="108"/>
      <c r="R396" s="108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08"/>
      <c r="Q397" s="108"/>
      <c r="R397" s="108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08"/>
      <c r="Q398" s="108"/>
      <c r="R398" s="108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08"/>
      <c r="Q399" s="108"/>
      <c r="R399" s="108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08"/>
      <c r="Q400" s="108"/>
      <c r="R400" s="108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08"/>
      <c r="Q401" s="108"/>
      <c r="R401" s="108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08"/>
      <c r="Q402" s="108"/>
      <c r="R402" s="108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08"/>
      <c r="Q403" s="108"/>
      <c r="R403" s="108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08"/>
      <c r="Q404" s="108"/>
      <c r="R404" s="108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08"/>
      <c r="Q405" s="108"/>
      <c r="R405" s="108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08"/>
      <c r="Q406" s="108"/>
      <c r="R406" s="108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08"/>
      <c r="Q407" s="108"/>
      <c r="R407" s="108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08"/>
      <c r="Q408" s="108"/>
      <c r="R408" s="108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08"/>
      <c r="Q409" s="108"/>
      <c r="R409" s="108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08"/>
      <c r="Q410" s="108"/>
      <c r="R410" s="108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08"/>
      <c r="Q411" s="108"/>
      <c r="R411" s="108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08"/>
      <c r="Q412" s="108"/>
      <c r="R412" s="108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08"/>
      <c r="Q413" s="108"/>
      <c r="R413" s="108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20"/>
      <c r="R416" s="120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9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0"/>
      <c r="Q424" s="100"/>
      <c r="R424" s="100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01"/>
      <c r="Q425" s="101"/>
      <c r="R425" s="101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08"/>
      <c r="Q426" s="108"/>
      <c r="R426" s="108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08"/>
      <c r="Q427" s="108"/>
      <c r="R427" s="108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08"/>
      <c r="Q428" s="108"/>
      <c r="R428" s="108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08"/>
      <c r="Q429" s="108"/>
      <c r="R429" s="108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08"/>
      <c r="Q430" s="108"/>
      <c r="R430" s="108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08"/>
      <c r="Q431" s="108"/>
      <c r="R431" s="108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08"/>
      <c r="Q432" s="108"/>
      <c r="R432" s="108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08"/>
      <c r="Q433" s="108"/>
      <c r="R433" s="108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08"/>
      <c r="Q434" s="108"/>
      <c r="R434" s="108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08"/>
      <c r="Q435" s="108"/>
      <c r="R435" s="108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08"/>
      <c r="Q436" s="108"/>
      <c r="R436" s="108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08"/>
      <c r="Q437" s="108"/>
      <c r="R437" s="108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08"/>
      <c r="Q438" s="108"/>
      <c r="R438" s="108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08"/>
      <c r="Q439" s="108"/>
      <c r="R439" s="108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08"/>
      <c r="Q440" s="108"/>
      <c r="R440" s="108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08"/>
      <c r="Q441" s="108"/>
      <c r="R441" s="108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08"/>
      <c r="Q442" s="108"/>
      <c r="R442" s="108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08"/>
      <c r="Q443" s="108"/>
      <c r="R443" s="108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08"/>
      <c r="Q444" s="108"/>
      <c r="R444" s="108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08"/>
      <c r="Q445" s="108"/>
      <c r="R445" s="108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08"/>
      <c r="Q446" s="108"/>
      <c r="R446" s="108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08"/>
      <c r="Q447" s="108"/>
      <c r="R447" s="108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08"/>
      <c r="Q448" s="108"/>
      <c r="R448" s="108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08"/>
      <c r="Q449" s="108"/>
      <c r="R449" s="108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08"/>
      <c r="Q450" s="108"/>
      <c r="R450" s="108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08"/>
      <c r="Q451" s="108"/>
      <c r="R451" s="108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08"/>
      <c r="Q452" s="108"/>
      <c r="R452" s="108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08"/>
      <c r="Q453" s="108"/>
      <c r="R453" s="108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08"/>
      <c r="Q454" s="108"/>
      <c r="R454" s="108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08"/>
      <c r="Q455" s="108"/>
      <c r="R455" s="108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08"/>
      <c r="Q456" s="108"/>
      <c r="R456" s="108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08"/>
      <c r="Q457" s="108"/>
      <c r="R457" s="108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20"/>
      <c r="R460" s="120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9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0"/>
      <c r="Q466" s="100"/>
      <c r="R466" s="100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01"/>
      <c r="Q467" s="101"/>
      <c r="R467" s="101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08"/>
      <c r="Q468" s="108"/>
      <c r="R468" s="108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08"/>
      <c r="Q469" s="108"/>
      <c r="R469" s="108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08"/>
      <c r="Q470" s="108"/>
      <c r="R470" s="108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08"/>
      <c r="Q471" s="108"/>
      <c r="R471" s="108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08"/>
      <c r="Q472" s="108"/>
      <c r="R472" s="108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08"/>
      <c r="Q473" s="108"/>
      <c r="R473" s="108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08"/>
      <c r="Q474" s="108"/>
      <c r="R474" s="108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08"/>
      <c r="Q475" s="108"/>
      <c r="R475" s="108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08"/>
      <c r="Q476" s="108"/>
      <c r="R476" s="108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08"/>
      <c r="Q477" s="108"/>
      <c r="R477" s="108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08"/>
      <c r="Q478" s="108"/>
      <c r="R478" s="108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08"/>
      <c r="Q479" s="108"/>
      <c r="R479" s="108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08"/>
      <c r="Q480" s="108"/>
      <c r="R480" s="108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08"/>
      <c r="Q481" s="108"/>
      <c r="R481" s="108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08"/>
      <c r="Q482" s="108"/>
      <c r="R482" s="108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08"/>
      <c r="Q483" s="108"/>
      <c r="R483" s="108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08"/>
      <c r="Q484" s="108"/>
      <c r="R484" s="108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08"/>
      <c r="Q485" s="108"/>
      <c r="R485" s="108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08"/>
      <c r="Q486" s="108"/>
      <c r="R486" s="108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08"/>
      <c r="Q487" s="108"/>
      <c r="R487" s="108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08"/>
      <c r="Q488" s="108"/>
      <c r="R488" s="108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08"/>
      <c r="Q489" s="108"/>
      <c r="R489" s="108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08"/>
      <c r="Q490" s="108"/>
      <c r="R490" s="108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08"/>
      <c r="Q491" s="108"/>
      <c r="R491" s="108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08"/>
      <c r="Q492" s="108"/>
      <c r="R492" s="108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08"/>
      <c r="Q493" s="108"/>
      <c r="R493" s="108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08"/>
      <c r="Q494" s="108"/>
      <c r="R494" s="108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08"/>
      <c r="Q495" s="108"/>
      <c r="R495" s="108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08"/>
      <c r="Q496" s="108"/>
      <c r="R496" s="108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08"/>
      <c r="Q497" s="108"/>
      <c r="R497" s="108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08"/>
      <c r="Q498" s="108"/>
      <c r="R498" s="108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08"/>
      <c r="Q499" s="108"/>
      <c r="R499" s="108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20"/>
      <c r="R502" s="120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3" activeCellId="3" sqref="C34 A41 B42 C3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1" width="13.41"/>
    <col collapsed="false" customWidth="true" hidden="false" outlineLevel="0" max="4" min="4" style="30" width="11.42"/>
    <col collapsed="false" customWidth="true" hidden="false" outlineLevel="0" max="5" min="5" style="111" width="11.42"/>
    <col collapsed="false" customWidth="true" hidden="false" outlineLevel="0" max="7" min="6" style="9" width="12.85"/>
    <col collapsed="false" customWidth="true" hidden="false" outlineLevel="0" max="8" min="8" style="30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76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77" width="8.28"/>
    <col collapsed="false" customWidth="true" hidden="false" outlineLevel="0" max="33" min="32" style="30" width="11.13"/>
    <col collapsed="false" customWidth="true" hidden="false" outlineLevel="0" max="34" min="34" style="30" width="10.41"/>
    <col collapsed="false" customWidth="true" hidden="false" outlineLevel="0" max="35" min="35" style="33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78" width="10.99"/>
    <col collapsed="false" customWidth="true" hidden="false" outlineLevel="0" max="39" min="39" style="376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8"/>
      <c r="O1" s="5" t="s">
        <v>193</v>
      </c>
      <c r="AD1" s="144" t="s">
        <v>194</v>
      </c>
    </row>
    <row r="2" customFormat="false" ht="16.5" hidden="false" customHeight="true" outlineLevel="0" collapsed="false">
      <c r="A2" s="41"/>
      <c r="B2" s="28"/>
      <c r="C2" s="58"/>
      <c r="F2" s="28"/>
      <c r="G2" s="28"/>
      <c r="I2" s="28"/>
      <c r="J2" s="28"/>
      <c r="K2" s="28"/>
      <c r="O2" s="5"/>
      <c r="AD2" s="19"/>
    </row>
    <row r="3" customFormat="false" ht="18.75" hidden="false" customHeight="true" outlineLevel="0" collapsed="false">
      <c r="A3" s="41"/>
      <c r="B3" s="233"/>
      <c r="F3" s="28"/>
      <c r="G3" s="28"/>
      <c r="I3" s="28"/>
      <c r="J3" s="28"/>
      <c r="K3" s="28"/>
    </row>
    <row r="4" customFormat="false" ht="17.1" hidden="false" customHeight="true" outlineLevel="0" collapsed="false">
      <c r="A4" s="173" t="s">
        <v>195</v>
      </c>
      <c r="B4" s="349" t="n">
        <v>12353</v>
      </c>
      <c r="C4" s="108" t="s">
        <v>196</v>
      </c>
      <c r="D4" s="349" t="n">
        <v>500168</v>
      </c>
      <c r="E4" s="108" t="s">
        <v>197</v>
      </c>
      <c r="F4" s="108"/>
      <c r="P4" s="33"/>
      <c r="S4" s="33"/>
      <c r="W4" s="9"/>
      <c r="X4" s="379"/>
    </row>
    <row r="5" customFormat="false" ht="17.1" hidden="false" customHeight="true" outlineLevel="0" collapsed="false">
      <c r="A5" s="18"/>
      <c r="B5" s="189" t="s">
        <v>114</v>
      </c>
      <c r="C5" s="189" t="s">
        <v>115</v>
      </c>
      <c r="D5" s="189" t="s">
        <v>114</v>
      </c>
      <c r="E5" s="189" t="s">
        <v>115</v>
      </c>
      <c r="F5" s="108"/>
      <c r="O5" s="319"/>
      <c r="P5" s="33"/>
      <c r="R5" s="30"/>
      <c r="S5" s="33"/>
      <c r="U5" s="30"/>
      <c r="V5" s="30"/>
      <c r="W5" s="111"/>
      <c r="X5" s="79"/>
    </row>
    <row r="6" customFormat="false" ht="15" hidden="false" customHeight="true" outlineLevel="0" collapsed="false">
      <c r="A6" s="18" t="n">
        <v>1</v>
      </c>
      <c r="B6" s="108" t="n">
        <v>-87770</v>
      </c>
      <c r="C6" s="108" t="n">
        <v>-89330</v>
      </c>
      <c r="D6" s="108"/>
      <c r="E6" s="108"/>
      <c r="F6" s="108" t="n">
        <f aca="false">+C6+E6-B6-D6</f>
        <v>-1560</v>
      </c>
      <c r="O6" s="319"/>
      <c r="P6" s="33"/>
      <c r="R6" s="30"/>
      <c r="S6" s="33"/>
      <c r="U6" s="30"/>
      <c r="V6" s="301"/>
      <c r="W6" s="111"/>
      <c r="X6" s="79"/>
      <c r="Y6" s="79"/>
      <c r="AD6" s="18"/>
      <c r="AE6" s="380"/>
      <c r="AF6" s="189"/>
      <c r="AG6" s="189"/>
      <c r="AH6" s="189"/>
      <c r="AI6" s="18"/>
    </row>
    <row r="7" customFormat="false" ht="15" hidden="false" customHeight="true" outlineLevel="0" collapsed="false">
      <c r="A7" s="18" t="n">
        <v>2</v>
      </c>
      <c r="B7" s="108" t="n">
        <v>-88047</v>
      </c>
      <c r="C7" s="108" t="n">
        <v>-88502</v>
      </c>
      <c r="D7" s="108"/>
      <c r="E7" s="108"/>
      <c r="F7" s="108" t="n">
        <f aca="false">+C7+E7-B7-D7</f>
        <v>-455</v>
      </c>
      <c r="G7" s="28"/>
      <c r="I7" s="319"/>
      <c r="J7" s="319"/>
      <c r="K7" s="319"/>
      <c r="L7" s="319"/>
      <c r="M7" s="319"/>
      <c r="N7" s="319"/>
      <c r="O7" s="319"/>
      <c r="P7" s="33"/>
      <c r="R7" s="30"/>
      <c r="S7" s="33"/>
      <c r="U7" s="30"/>
      <c r="V7" s="30"/>
      <c r="W7" s="111"/>
      <c r="X7" s="79"/>
      <c r="Y7" s="79"/>
      <c r="AD7" s="123"/>
      <c r="AE7" s="381"/>
      <c r="AF7" s="108"/>
      <c r="AG7" s="108"/>
      <c r="AH7" s="184"/>
      <c r="AI7" s="104"/>
    </row>
    <row r="8" customFormat="false" ht="15" hidden="false" customHeight="true" outlineLevel="2" collapsed="false">
      <c r="A8" s="18" t="n">
        <v>3</v>
      </c>
      <c r="B8" s="108" t="n">
        <v>-87233</v>
      </c>
      <c r="C8" s="108" t="n">
        <v>-80452</v>
      </c>
      <c r="D8" s="108"/>
      <c r="E8" s="108"/>
      <c r="F8" s="108" t="n">
        <f aca="false">+C8+E8-B8-D8</f>
        <v>6781</v>
      </c>
      <c r="G8" s="153"/>
      <c r="O8" s="319"/>
      <c r="P8" s="33"/>
      <c r="R8" s="30"/>
      <c r="S8" s="33"/>
      <c r="U8" s="30"/>
      <c r="V8" s="30"/>
      <c r="W8" s="111"/>
      <c r="X8" s="79"/>
      <c r="Y8" s="79"/>
      <c r="AD8" s="123"/>
      <c r="AE8" s="381"/>
      <c r="AF8" s="108"/>
      <c r="AG8" s="108"/>
      <c r="AH8" s="184"/>
      <c r="AI8" s="104"/>
      <c r="AJ8" s="79"/>
    </row>
    <row r="9" customFormat="false" ht="15" hidden="false" customHeight="true" outlineLevel="1" collapsed="false">
      <c r="A9" s="18" t="n">
        <v>4</v>
      </c>
      <c r="B9" s="108" t="n">
        <v>-85416</v>
      </c>
      <c r="C9" s="108" t="n">
        <v>-89090</v>
      </c>
      <c r="D9" s="108"/>
      <c r="E9" s="108"/>
      <c r="F9" s="108" t="n">
        <f aca="false">+C9+E9-B9-D9</f>
        <v>-3674</v>
      </c>
      <c r="G9" s="153"/>
      <c r="O9" s="319"/>
      <c r="P9" s="33"/>
      <c r="R9" s="30"/>
      <c r="S9" s="33"/>
      <c r="U9" s="30"/>
      <c r="V9" s="30"/>
      <c r="W9" s="111"/>
      <c r="X9" s="79"/>
      <c r="Y9" s="79"/>
      <c r="AD9" s="123"/>
      <c r="AE9" s="381"/>
      <c r="AF9" s="108"/>
      <c r="AG9" s="108"/>
      <c r="AH9" s="184"/>
      <c r="AI9" s="104"/>
      <c r="AJ9" s="79"/>
    </row>
    <row r="10" customFormat="false" ht="15" hidden="false" customHeight="true" outlineLevel="2" collapsed="false">
      <c r="A10" s="18" t="n">
        <v>5</v>
      </c>
      <c r="B10" s="108" t="n">
        <v>-79179</v>
      </c>
      <c r="C10" s="108" t="n">
        <v>-79090</v>
      </c>
      <c r="D10" s="108"/>
      <c r="E10" s="108"/>
      <c r="F10" s="108" t="n">
        <f aca="false">+C10+E10-B10-D10</f>
        <v>89</v>
      </c>
      <c r="G10" s="341"/>
      <c r="O10" s="319"/>
      <c r="P10" s="33"/>
      <c r="R10" s="30"/>
      <c r="S10" s="33"/>
      <c r="U10" s="30"/>
      <c r="V10" s="30"/>
      <c r="W10" s="111"/>
      <c r="X10" s="79"/>
      <c r="Y10" s="79"/>
      <c r="AD10" s="123"/>
      <c r="AE10" s="381"/>
      <c r="AF10" s="108"/>
      <c r="AG10" s="108"/>
      <c r="AH10" s="184"/>
      <c r="AI10" s="104"/>
      <c r="AJ10" s="79"/>
    </row>
    <row r="11" customFormat="false" ht="15" hidden="false" customHeight="true" outlineLevel="2" collapsed="false">
      <c r="A11" s="18" t="n">
        <v>6</v>
      </c>
      <c r="B11" s="108" t="n">
        <v>-79663</v>
      </c>
      <c r="C11" s="108" t="n">
        <v>-79090</v>
      </c>
      <c r="D11" s="108"/>
      <c r="E11" s="108"/>
      <c r="F11" s="108" t="n">
        <f aca="false">+C11+E11-B11-D11</f>
        <v>573</v>
      </c>
      <c r="G11" s="341"/>
      <c r="O11" s="319"/>
      <c r="P11" s="33"/>
      <c r="R11" s="30"/>
      <c r="S11" s="33"/>
      <c r="U11" s="30"/>
      <c r="V11" s="30"/>
      <c r="W11" s="111"/>
      <c r="X11" s="79"/>
      <c r="Y11" s="79"/>
      <c r="AD11" s="123"/>
      <c r="AE11" s="381"/>
      <c r="AF11" s="108"/>
      <c r="AG11" s="108"/>
      <c r="AH11" s="184"/>
      <c r="AI11" s="104"/>
      <c r="AJ11" s="79"/>
    </row>
    <row r="12" customFormat="false" ht="15" hidden="false" customHeight="true" outlineLevel="2" collapsed="false">
      <c r="A12" s="18" t="n">
        <v>7</v>
      </c>
      <c r="B12" s="108" t="n">
        <v>-110402</v>
      </c>
      <c r="C12" s="108" t="n">
        <v>-111234</v>
      </c>
      <c r="D12" s="108" t="n">
        <v>-10778</v>
      </c>
      <c r="E12" s="108" t="n">
        <v>-10000</v>
      </c>
      <c r="F12" s="108" t="n">
        <f aca="false">+C12+E12-B12-D12</f>
        <v>-54</v>
      </c>
      <c r="G12" s="341"/>
      <c r="O12" s="319"/>
      <c r="P12" s="33"/>
      <c r="R12" s="30"/>
      <c r="S12" s="33"/>
      <c r="U12" s="30"/>
      <c r="V12" s="30"/>
      <c r="W12" s="111"/>
      <c r="X12" s="79"/>
      <c r="Y12" s="79"/>
      <c r="AD12" s="123"/>
      <c r="AE12" s="381"/>
      <c r="AF12" s="108"/>
      <c r="AG12" s="108"/>
      <c r="AH12" s="184"/>
      <c r="AI12" s="104"/>
      <c r="AJ12" s="79"/>
    </row>
    <row r="13" customFormat="false" ht="15" hidden="false" customHeight="true" outlineLevel="2" collapsed="false">
      <c r="A13" s="18" t="n">
        <v>8</v>
      </c>
      <c r="B13" s="108" t="n">
        <v>-84430</v>
      </c>
      <c r="C13" s="108" t="n">
        <v>-82502</v>
      </c>
      <c r="D13" s="108" t="n">
        <v>-10987</v>
      </c>
      <c r="E13" s="108" t="n">
        <v>-10000</v>
      </c>
      <c r="F13" s="108" t="n">
        <f aca="false">+C13+E13-B13-D13</f>
        <v>2915</v>
      </c>
      <c r="G13" s="341"/>
      <c r="O13" s="319"/>
      <c r="P13" s="33"/>
      <c r="R13" s="30"/>
      <c r="S13" s="33"/>
      <c r="U13" s="30"/>
      <c r="V13" s="30"/>
      <c r="W13" s="111"/>
      <c r="X13" s="79"/>
      <c r="Y13" s="79"/>
      <c r="AD13" s="123"/>
      <c r="AE13" s="381"/>
      <c r="AF13" s="108"/>
      <c r="AG13" s="108"/>
      <c r="AH13" s="184"/>
      <c r="AI13" s="104"/>
      <c r="AJ13" s="79"/>
    </row>
    <row r="14" customFormat="false" ht="15" hidden="false" customHeight="true" outlineLevel="1" collapsed="false">
      <c r="A14" s="18" t="n">
        <v>9</v>
      </c>
      <c r="B14" s="108" t="n">
        <v>-116235</v>
      </c>
      <c r="C14" s="108" t="n">
        <v>-118726</v>
      </c>
      <c r="D14" s="108" t="n">
        <v>-16703</v>
      </c>
      <c r="E14" s="108" t="n">
        <v>-16908</v>
      </c>
      <c r="F14" s="108" t="n">
        <f aca="false">+C14+E14-B14-D14</f>
        <v>-2696</v>
      </c>
      <c r="G14" s="341"/>
      <c r="O14" s="319"/>
      <c r="P14" s="33"/>
      <c r="R14" s="30"/>
      <c r="S14" s="33"/>
      <c r="U14" s="30"/>
      <c r="V14" s="30"/>
      <c r="W14" s="111"/>
      <c r="X14" s="79"/>
      <c r="Y14" s="79"/>
      <c r="AD14" s="123"/>
      <c r="AE14" s="381"/>
      <c r="AF14" s="108"/>
      <c r="AG14" s="108"/>
      <c r="AH14" s="184"/>
      <c r="AI14" s="104"/>
      <c r="AJ14" s="79"/>
    </row>
    <row r="15" customFormat="false" ht="15" hidden="false" customHeight="true" outlineLevel="2" collapsed="false">
      <c r="A15" s="18" t="n">
        <v>10</v>
      </c>
      <c r="B15" s="108" t="n">
        <v>-88622</v>
      </c>
      <c r="C15" s="108" t="n">
        <v>-89290</v>
      </c>
      <c r="D15" s="108" t="n">
        <v>-8183</v>
      </c>
      <c r="E15" s="108" t="n">
        <v>-10000</v>
      </c>
      <c r="F15" s="108" t="n">
        <f aca="false">+C15+E15-B15-D15</f>
        <v>-2485</v>
      </c>
      <c r="G15" s="341"/>
      <c r="O15" s="319"/>
      <c r="P15" s="33"/>
      <c r="R15" s="30"/>
      <c r="AD15" s="123"/>
      <c r="AE15" s="381"/>
      <c r="AF15" s="108"/>
      <c r="AG15" s="108"/>
      <c r="AH15" s="184"/>
      <c r="AI15" s="104"/>
      <c r="AJ15" s="79"/>
    </row>
    <row r="16" customFormat="false" ht="18" hidden="false" customHeight="true" outlineLevel="2" collapsed="false">
      <c r="A16" s="18" t="n">
        <v>11</v>
      </c>
      <c r="B16" s="108" t="n">
        <v>-99079</v>
      </c>
      <c r="C16" s="108" t="n">
        <v>-99924</v>
      </c>
      <c r="D16" s="108"/>
      <c r="E16" s="108"/>
      <c r="F16" s="108" t="n">
        <f aca="false">+C16+E16-B16-D16</f>
        <v>-845</v>
      </c>
      <c r="G16" s="341"/>
      <c r="O16" s="319"/>
      <c r="P16" s="33"/>
      <c r="R16" s="30"/>
      <c r="S16" s="33"/>
      <c r="U16" s="30"/>
      <c r="V16" s="30"/>
      <c r="W16" s="111"/>
      <c r="X16" s="79"/>
      <c r="Y16" s="79"/>
      <c r="AD16" s="123"/>
      <c r="AE16" s="381"/>
      <c r="AF16" s="108"/>
      <c r="AG16" s="108"/>
      <c r="AH16" s="184"/>
      <c r="AI16" s="104"/>
      <c r="AJ16" s="79"/>
    </row>
    <row r="17" customFormat="false" ht="18" hidden="false" customHeight="true" outlineLevel="2" collapsed="false">
      <c r="A17" s="18" t="n">
        <v>12</v>
      </c>
      <c r="B17" s="108" t="n">
        <v>-99644</v>
      </c>
      <c r="C17" s="108" t="n">
        <v>-99924</v>
      </c>
      <c r="D17" s="108"/>
      <c r="E17" s="108"/>
      <c r="F17" s="108" t="n">
        <f aca="false">+C17+E17-B17-D17</f>
        <v>-280</v>
      </c>
      <c r="G17" s="341"/>
      <c r="O17" s="319"/>
      <c r="P17" s="33"/>
      <c r="R17" s="30"/>
      <c r="S17" s="33"/>
      <c r="AD17" s="123"/>
      <c r="AE17" s="381"/>
      <c r="AF17" s="108"/>
      <c r="AG17" s="108"/>
      <c r="AH17" s="184"/>
      <c r="AI17" s="104"/>
      <c r="AJ17" s="79"/>
    </row>
    <row r="18" customFormat="false" ht="18" hidden="false" customHeight="true" outlineLevel="1" collapsed="false">
      <c r="A18" s="18" t="n">
        <v>13</v>
      </c>
      <c r="B18" s="108" t="n">
        <v>-96896</v>
      </c>
      <c r="C18" s="108" t="n">
        <v>-99924</v>
      </c>
      <c r="D18" s="108"/>
      <c r="E18" s="108"/>
      <c r="F18" s="108" t="n">
        <f aca="false">+C18+E18-B18-D18</f>
        <v>-3028</v>
      </c>
      <c r="G18" s="341"/>
      <c r="O18" s="319"/>
      <c r="P18" s="33"/>
      <c r="R18" s="30"/>
      <c r="S18" s="33"/>
      <c r="AD18" s="123"/>
      <c r="AE18" s="381"/>
      <c r="AF18" s="108"/>
      <c r="AG18" s="108"/>
      <c r="AH18" s="184"/>
      <c r="AI18" s="104"/>
      <c r="AJ18" s="79"/>
    </row>
    <row r="19" customFormat="false" ht="18" hidden="false" customHeight="true" outlineLevel="2" collapsed="false">
      <c r="A19" s="18" t="n">
        <v>14</v>
      </c>
      <c r="B19" s="108" t="n">
        <v>-60119</v>
      </c>
      <c r="C19" s="108" t="n">
        <v>-59502</v>
      </c>
      <c r="D19" s="108" t="n">
        <v>-1</v>
      </c>
      <c r="E19" s="108"/>
      <c r="F19" s="108" t="n">
        <f aca="false">+C19+E19-B19-D19</f>
        <v>618</v>
      </c>
      <c r="G19" s="341"/>
      <c r="O19" s="319"/>
      <c r="P19" s="33"/>
      <c r="R19" s="30"/>
      <c r="S19" s="33"/>
      <c r="U19" s="30"/>
      <c r="AD19" s="123"/>
      <c r="AE19" s="381"/>
      <c r="AF19" s="108"/>
      <c r="AG19" s="108"/>
      <c r="AH19" s="184"/>
      <c r="AI19" s="104"/>
      <c r="AJ19" s="79"/>
    </row>
    <row r="20" customFormat="false" ht="18" hidden="false" customHeight="true" outlineLevel="1" collapsed="false">
      <c r="A20" s="18" t="n">
        <v>15</v>
      </c>
      <c r="B20" s="108" t="n">
        <v>-100957</v>
      </c>
      <c r="C20" s="108" t="n">
        <v>-100332</v>
      </c>
      <c r="D20" s="108"/>
      <c r="E20" s="108"/>
      <c r="F20" s="108" t="n">
        <f aca="false">+C20+E20-B20-D20</f>
        <v>625</v>
      </c>
      <c r="G20" s="341"/>
      <c r="O20" s="319"/>
      <c r="P20" s="33"/>
      <c r="R20" s="30"/>
      <c r="S20" s="33"/>
      <c r="U20" s="30"/>
      <c r="AD20" s="123"/>
      <c r="AE20" s="381"/>
      <c r="AF20" s="108"/>
      <c r="AG20" s="108"/>
      <c r="AH20" s="184"/>
      <c r="AI20" s="104"/>
      <c r="AJ20" s="79"/>
    </row>
    <row r="21" customFormat="false" ht="18" hidden="false" customHeight="true" outlineLevel="2" collapsed="false">
      <c r="A21" s="18" t="n">
        <v>16</v>
      </c>
      <c r="B21" s="108" t="n">
        <v>-52592</v>
      </c>
      <c r="C21" s="108" t="n">
        <v>-50761</v>
      </c>
      <c r="D21" s="108"/>
      <c r="E21" s="108"/>
      <c r="F21" s="108" t="n">
        <f aca="false">+C21+E21-B21-D21</f>
        <v>1831</v>
      </c>
      <c r="G21" s="341"/>
      <c r="O21" s="319"/>
      <c r="P21" s="33"/>
      <c r="R21" s="30"/>
      <c r="S21" s="33"/>
      <c r="U21" s="30"/>
      <c r="AD21" s="123"/>
      <c r="AE21" s="381"/>
      <c r="AF21" s="108"/>
      <c r="AG21" s="108"/>
      <c r="AH21" s="184"/>
      <c r="AI21" s="104"/>
      <c r="AJ21" s="79"/>
    </row>
    <row r="22" customFormat="false" ht="18" hidden="false" customHeight="true" outlineLevel="2" collapsed="false">
      <c r="A22" s="18" t="n">
        <v>17</v>
      </c>
      <c r="B22" s="108" t="n">
        <v>-75444</v>
      </c>
      <c r="C22" s="108" t="n">
        <v>-74973</v>
      </c>
      <c r="D22" s="108"/>
      <c r="E22" s="108"/>
      <c r="F22" s="108" t="n">
        <f aca="false">+C22+E22-B22-D22</f>
        <v>471</v>
      </c>
      <c r="G22" s="341"/>
      <c r="O22" s="319"/>
      <c r="P22" s="33"/>
      <c r="R22" s="30"/>
      <c r="S22" s="33"/>
      <c r="U22" s="30"/>
      <c r="V22" s="30"/>
      <c r="W22" s="111"/>
      <c r="X22" s="79"/>
      <c r="Y22" s="79"/>
      <c r="AD22" s="123"/>
      <c r="AE22" s="381"/>
      <c r="AF22" s="108"/>
      <c r="AG22" s="108"/>
      <c r="AH22" s="184"/>
      <c r="AI22" s="104"/>
      <c r="AJ22" s="79"/>
    </row>
    <row r="23" customFormat="false" ht="18" hidden="false" customHeight="true" outlineLevel="1" collapsed="false">
      <c r="A23" s="18" t="n">
        <v>18</v>
      </c>
      <c r="B23" s="108" t="n">
        <v>-37835</v>
      </c>
      <c r="C23" s="108" t="n">
        <v>-37403</v>
      </c>
      <c r="D23" s="108"/>
      <c r="E23" s="108"/>
      <c r="F23" s="108" t="n">
        <f aca="false">+C23+E23-B23-D23</f>
        <v>432</v>
      </c>
      <c r="G23" s="341"/>
      <c r="O23" s="319"/>
      <c r="P23" s="33"/>
      <c r="R23" s="30"/>
      <c r="S23" s="33"/>
      <c r="U23" s="30"/>
      <c r="V23" s="30"/>
      <c r="W23" s="111"/>
      <c r="X23" s="79"/>
      <c r="Y23" s="79"/>
      <c r="AD23" s="123"/>
      <c r="AE23" s="381"/>
      <c r="AF23" s="108"/>
      <c r="AG23" s="108"/>
      <c r="AH23" s="184"/>
      <c r="AI23" s="104"/>
      <c r="AJ23" s="79"/>
    </row>
    <row r="24" customFormat="false" ht="18" hidden="false" customHeight="true" outlineLevel="2" collapsed="false">
      <c r="A24" s="18" t="n">
        <v>19</v>
      </c>
      <c r="B24" s="108" t="n">
        <v>-36917</v>
      </c>
      <c r="C24" s="108" t="n">
        <v>-37403</v>
      </c>
      <c r="D24" s="108"/>
      <c r="E24" s="108"/>
      <c r="F24" s="108" t="n">
        <f aca="false">+C24+E24-B24-D24</f>
        <v>-486</v>
      </c>
      <c r="G24" s="341"/>
      <c r="O24" s="319"/>
      <c r="P24" s="33"/>
      <c r="R24" s="30"/>
      <c r="S24" s="33"/>
      <c r="U24" s="30"/>
      <c r="V24" s="30"/>
      <c r="W24" s="111"/>
      <c r="X24" s="79"/>
      <c r="Y24" s="79"/>
      <c r="AD24" s="123"/>
      <c r="AE24" s="381"/>
      <c r="AF24" s="108"/>
      <c r="AG24" s="108"/>
      <c r="AH24" s="184"/>
      <c r="AI24" s="104"/>
      <c r="AJ24" s="79"/>
    </row>
    <row r="25" customFormat="false" ht="18" hidden="false" customHeight="true" outlineLevel="2" collapsed="false">
      <c r="A25" s="18" t="n">
        <v>20</v>
      </c>
      <c r="B25" s="108" t="n">
        <v>-27048</v>
      </c>
      <c r="C25" s="108" t="n">
        <v>-27119</v>
      </c>
      <c r="D25" s="108"/>
      <c r="E25" s="108"/>
      <c r="F25" s="108" t="n">
        <f aca="false">+C25+E25-B25-D25</f>
        <v>-71</v>
      </c>
      <c r="G25" s="341"/>
      <c r="O25" s="319"/>
      <c r="P25" s="33"/>
      <c r="Q25" s="382"/>
      <c r="R25" s="30"/>
      <c r="S25" s="33"/>
      <c r="U25" s="30"/>
      <c r="V25" s="30"/>
      <c r="W25" s="111"/>
      <c r="X25" s="79"/>
      <c r="Y25" s="79"/>
      <c r="AD25" s="123"/>
      <c r="AE25" s="381"/>
      <c r="AF25" s="108"/>
      <c r="AG25" s="108"/>
      <c r="AH25" s="184"/>
      <c r="AI25" s="104"/>
      <c r="AJ25" s="79"/>
    </row>
    <row r="26" customFormat="false" ht="18" hidden="false" customHeight="true" outlineLevel="2" collapsed="false">
      <c r="A26" s="18" t="n">
        <v>21</v>
      </c>
      <c r="B26" s="108" t="n">
        <v>-70875</v>
      </c>
      <c r="C26" s="108" t="n">
        <v>-74286</v>
      </c>
      <c r="D26" s="108"/>
      <c r="E26" s="108"/>
      <c r="F26" s="108" t="n">
        <f aca="false">+C26+E26-B26-D26</f>
        <v>-3411</v>
      </c>
      <c r="G26" s="341"/>
      <c r="O26" s="319"/>
      <c r="P26" s="33"/>
      <c r="Q26" s="319"/>
      <c r="R26" s="30"/>
      <c r="U26" s="30"/>
      <c r="V26" s="30"/>
      <c r="W26" s="111"/>
      <c r="X26" s="79"/>
      <c r="AD26" s="123"/>
      <c r="AE26" s="381"/>
      <c r="AF26" s="108"/>
      <c r="AG26" s="108"/>
      <c r="AH26" s="184"/>
      <c r="AI26" s="104"/>
      <c r="AJ26" s="79"/>
    </row>
    <row r="27" customFormat="false" ht="18" hidden="false" customHeight="true" outlineLevel="2" collapsed="false">
      <c r="A27" s="18" t="n">
        <v>22</v>
      </c>
      <c r="B27" s="108" t="n">
        <v>-59872</v>
      </c>
      <c r="C27" s="108" t="n">
        <v>-59332</v>
      </c>
      <c r="D27" s="108"/>
      <c r="E27" s="108"/>
      <c r="F27" s="108" t="n">
        <f aca="false">+C27+E27-B27-D27</f>
        <v>540</v>
      </c>
      <c r="G27" s="341"/>
      <c r="O27" s="319"/>
      <c r="P27" s="33"/>
      <c r="Q27" s="319"/>
      <c r="R27" s="30"/>
      <c r="U27" s="30"/>
      <c r="V27" s="30"/>
      <c r="W27" s="111"/>
      <c r="X27" s="335"/>
      <c r="AD27" s="123"/>
      <c r="AE27" s="381"/>
      <c r="AF27" s="108"/>
      <c r="AG27" s="108"/>
      <c r="AH27" s="184"/>
      <c r="AI27" s="104"/>
      <c r="AJ27" s="79"/>
    </row>
    <row r="28" customFormat="false" ht="18" hidden="false" customHeight="true" outlineLevel="1" collapsed="false">
      <c r="A28" s="18" t="n">
        <v>23</v>
      </c>
      <c r="B28" s="108" t="n">
        <v>-84167</v>
      </c>
      <c r="C28" s="108" t="n">
        <v>-87235</v>
      </c>
      <c r="D28" s="108"/>
      <c r="E28" s="108"/>
      <c r="F28" s="108" t="n">
        <f aca="false">+C28+E28-B28-D28</f>
        <v>-3068</v>
      </c>
      <c r="G28" s="341"/>
      <c r="O28" s="319"/>
      <c r="P28" s="33"/>
      <c r="Q28" s="319"/>
      <c r="R28" s="30"/>
      <c r="U28" s="30"/>
      <c r="V28" s="30"/>
      <c r="W28" s="111"/>
      <c r="X28" s="341"/>
      <c r="AD28" s="123"/>
      <c r="AE28" s="381"/>
      <c r="AF28" s="108"/>
      <c r="AG28" s="108"/>
      <c r="AH28" s="184"/>
      <c r="AI28" s="104"/>
      <c r="AJ28" s="79"/>
    </row>
    <row r="29" customFormat="false" ht="18" hidden="false" customHeight="true" outlineLevel="2" collapsed="false">
      <c r="A29" s="18" t="n">
        <v>24</v>
      </c>
      <c r="B29" s="108" t="n">
        <v>-53411</v>
      </c>
      <c r="C29" s="108" t="n">
        <v>-54502</v>
      </c>
      <c r="D29" s="108"/>
      <c r="E29" s="108"/>
      <c r="F29" s="108" t="n">
        <f aca="false">+C29+E29-B29-D29</f>
        <v>-1091</v>
      </c>
      <c r="G29" s="341"/>
      <c r="P29" s="33"/>
      <c r="Q29" s="319"/>
      <c r="R29" s="30"/>
      <c r="U29" s="30"/>
      <c r="V29" s="30"/>
      <c r="W29" s="111"/>
      <c r="X29" s="383"/>
      <c r="AD29" s="123"/>
      <c r="AE29" s="381"/>
      <c r="AF29" s="108"/>
      <c r="AG29" s="108"/>
      <c r="AH29" s="184"/>
      <c r="AI29" s="104"/>
      <c r="AJ29" s="79"/>
    </row>
    <row r="30" customFormat="false" ht="18" hidden="false" customHeight="true" outlineLevel="2" collapsed="false">
      <c r="A30" s="18" t="n">
        <v>25</v>
      </c>
      <c r="B30" s="108" t="n">
        <v>-60969</v>
      </c>
      <c r="C30" s="108" t="n">
        <v>-61097</v>
      </c>
      <c r="D30" s="108"/>
      <c r="E30" s="108"/>
      <c r="F30" s="108" t="n">
        <f aca="false">+C30+E30-B30-D30</f>
        <v>-128</v>
      </c>
      <c r="G30" s="341"/>
      <c r="AD30" s="123"/>
      <c r="AE30" s="381"/>
      <c r="AF30" s="108"/>
      <c r="AG30" s="108"/>
      <c r="AH30" s="184"/>
      <c r="AI30" s="104"/>
      <c r="AJ30" s="79"/>
    </row>
    <row r="31" customFormat="false" ht="18" hidden="false" customHeight="true" outlineLevel="2" collapsed="false">
      <c r="A31" s="18" t="n">
        <v>26</v>
      </c>
      <c r="B31" s="108" t="n">
        <v>-60055</v>
      </c>
      <c r="C31" s="108" t="n">
        <v>-60522</v>
      </c>
      <c r="D31" s="108"/>
      <c r="E31" s="108"/>
      <c r="F31" s="108" t="n">
        <f aca="false">+C31+E31-B31-D31</f>
        <v>-467</v>
      </c>
      <c r="G31" s="341"/>
      <c r="Q31" s="319"/>
      <c r="R31" s="30"/>
      <c r="S31" s="30"/>
      <c r="T31" s="30"/>
      <c r="U31" s="111"/>
      <c r="V31" s="79"/>
      <c r="AD31" s="123"/>
      <c r="AE31" s="381"/>
      <c r="AF31" s="108"/>
      <c r="AG31" s="108"/>
      <c r="AH31" s="184"/>
      <c r="AI31" s="104"/>
      <c r="AJ31" s="79"/>
    </row>
    <row r="32" customFormat="false" ht="18" hidden="false" customHeight="true" outlineLevel="2" collapsed="false">
      <c r="A32" s="18" t="n">
        <v>27</v>
      </c>
      <c r="B32" s="108" t="n">
        <v>-71255</v>
      </c>
      <c r="C32" s="108" t="n">
        <v>-70522</v>
      </c>
      <c r="D32" s="108"/>
      <c r="E32" s="108"/>
      <c r="F32" s="108" t="n">
        <f aca="false">+C32+E32-B32-D32</f>
        <v>733</v>
      </c>
      <c r="G32" s="341"/>
      <c r="Q32" s="319"/>
      <c r="R32" s="30"/>
      <c r="S32" s="30"/>
      <c r="T32" s="30"/>
      <c r="U32" s="111"/>
      <c r="V32" s="79"/>
      <c r="AD32" s="123"/>
      <c r="AE32" s="381"/>
      <c r="AF32" s="108"/>
      <c r="AG32" s="108"/>
      <c r="AH32" s="184"/>
      <c r="AI32" s="104"/>
      <c r="AJ32" s="79"/>
    </row>
    <row r="33" customFormat="false" ht="18" hidden="false" customHeight="true" outlineLevel="2" collapsed="false">
      <c r="A33" s="18" t="n">
        <v>28</v>
      </c>
      <c r="B33" s="108"/>
      <c r="C33" s="108"/>
      <c r="D33" s="108"/>
      <c r="E33" s="108"/>
      <c r="F33" s="108" t="n">
        <f aca="false">+C33+E33-B33-D33</f>
        <v>0</v>
      </c>
      <c r="G33" s="341"/>
      <c r="Q33" s="319"/>
      <c r="R33" s="30"/>
      <c r="S33" s="30"/>
      <c r="T33" s="30"/>
      <c r="U33" s="111"/>
      <c r="V33" s="79"/>
      <c r="AD33" s="123"/>
      <c r="AE33" s="381"/>
      <c r="AF33" s="108"/>
      <c r="AG33" s="108"/>
      <c r="AH33" s="184"/>
      <c r="AI33" s="104"/>
      <c r="AJ33" s="79"/>
    </row>
    <row r="34" customFormat="false" ht="18" hidden="false" customHeight="true" outlineLevel="2" collapsed="false">
      <c r="A34" s="18" t="n">
        <v>29</v>
      </c>
      <c r="B34" s="108"/>
      <c r="C34" s="108"/>
      <c r="D34" s="108"/>
      <c r="E34" s="108"/>
      <c r="F34" s="108" t="n">
        <f aca="false">+C34+E34-B34-D34</f>
        <v>0</v>
      </c>
      <c r="G34" s="341"/>
      <c r="Q34" s="319"/>
      <c r="R34" s="30"/>
      <c r="S34" s="30"/>
      <c r="T34" s="30"/>
      <c r="U34" s="111"/>
      <c r="V34" s="79"/>
      <c r="AD34" s="123"/>
      <c r="AE34" s="381"/>
      <c r="AF34" s="108"/>
      <c r="AG34" s="108"/>
      <c r="AH34" s="184"/>
      <c r="AI34" s="104"/>
      <c r="AJ34" s="79"/>
    </row>
    <row r="35" customFormat="false" ht="18" hidden="false" customHeight="true" outlineLevel="2" collapsed="false">
      <c r="A35" s="18" t="n">
        <v>30</v>
      </c>
      <c r="B35" s="108"/>
      <c r="C35" s="108"/>
      <c r="D35" s="108"/>
      <c r="E35" s="108"/>
      <c r="F35" s="108" t="n">
        <f aca="false">+C35+E35-B35-D35</f>
        <v>0</v>
      </c>
      <c r="G35" s="341"/>
      <c r="R35" s="30"/>
      <c r="S35" s="30"/>
      <c r="T35" s="30"/>
      <c r="U35" s="111"/>
      <c r="V35" s="79"/>
      <c r="AD35" s="123"/>
      <c r="AE35" s="381"/>
      <c r="AF35" s="108"/>
      <c r="AG35" s="108"/>
      <c r="AH35" s="184"/>
      <c r="AI35" s="104"/>
      <c r="AJ35" s="79"/>
    </row>
    <row r="36" customFormat="false" ht="18" hidden="false" customHeight="true" outlineLevel="1" collapsed="false">
      <c r="A36" s="18" t="n">
        <v>31</v>
      </c>
      <c r="B36" s="108"/>
      <c r="C36" s="108"/>
      <c r="D36" s="108"/>
      <c r="E36" s="108"/>
      <c r="F36" s="108" t="n">
        <f aca="false">+C36+E36-B36-D36</f>
        <v>0</v>
      </c>
      <c r="G36" s="341"/>
      <c r="R36" s="30"/>
      <c r="S36" s="30"/>
      <c r="T36" s="30"/>
      <c r="U36" s="111"/>
      <c r="V36" s="79"/>
      <c r="AD36" s="123"/>
      <c r="AE36" s="381"/>
      <c r="AF36" s="108"/>
      <c r="AG36" s="108"/>
      <c r="AH36" s="184"/>
      <c r="AI36" s="104"/>
      <c r="AJ36" s="79"/>
    </row>
    <row r="37" customFormat="false" ht="18" hidden="false" customHeight="true" outlineLevel="0" collapsed="false">
      <c r="A37" s="18"/>
      <c r="B37" s="108" t="n">
        <f aca="false">SUM(B6:B36)</f>
        <v>-2054132</v>
      </c>
      <c r="C37" s="108" t="n">
        <f aca="false">SUM(C6:C36)</f>
        <v>-2062067</v>
      </c>
      <c r="D37" s="108" t="n">
        <f aca="false">SUM(D6:D36)</f>
        <v>-46652</v>
      </c>
      <c r="E37" s="108" t="n">
        <f aca="false">SUM(E6:E36)</f>
        <v>-46908</v>
      </c>
      <c r="F37" s="108" t="n">
        <f aca="false">SUM(F6:F36)</f>
        <v>-8191</v>
      </c>
      <c r="G37" s="384"/>
      <c r="R37" s="30"/>
      <c r="S37" s="30"/>
      <c r="T37" s="30"/>
      <c r="U37" s="111"/>
      <c r="V37" s="79"/>
      <c r="AD37" s="123"/>
      <c r="AE37" s="381"/>
      <c r="AF37" s="108"/>
      <c r="AG37" s="108"/>
      <c r="AH37" s="184"/>
      <c r="AI37" s="104"/>
      <c r="AJ37" s="79"/>
    </row>
    <row r="38" customFormat="false" ht="18" hidden="false" customHeight="true" outlineLevel="1" collapsed="false">
      <c r="A38" s="192" t="s">
        <v>1</v>
      </c>
      <c r="E38" s="30"/>
      <c r="F38" s="103" t="n">
        <f aca="false">+summary!H4</f>
        <v>2.81</v>
      </c>
      <c r="G38" s="341"/>
      <c r="R38" s="30"/>
      <c r="S38" s="30"/>
      <c r="T38" s="30"/>
      <c r="U38" s="111"/>
      <c r="V38" s="79"/>
      <c r="AD38" s="123"/>
      <c r="AE38" s="381"/>
      <c r="AF38" s="108"/>
      <c r="AG38" s="108"/>
      <c r="AH38" s="184"/>
      <c r="AI38" s="104"/>
      <c r="AJ38" s="79"/>
    </row>
    <row r="39" customFormat="false" ht="18" hidden="false" customHeight="true" outlineLevel="2" collapsed="false">
      <c r="A39" s="192"/>
      <c r="E39" s="30"/>
      <c r="F39" s="103" t="n">
        <f aca="false">+F38*F37</f>
        <v>-23016.71</v>
      </c>
      <c r="G39" s="385"/>
      <c r="R39" s="30"/>
      <c r="S39" s="30"/>
      <c r="T39" s="30"/>
      <c r="U39" s="30"/>
      <c r="AD39" s="123"/>
      <c r="AE39" s="381"/>
      <c r="AF39" s="108"/>
      <c r="AG39" s="108"/>
      <c r="AH39" s="184"/>
      <c r="AI39" s="104"/>
      <c r="AJ39" s="79"/>
    </row>
    <row r="40" customFormat="false" ht="18" hidden="false" customHeight="true" outlineLevel="1" collapsed="false">
      <c r="A40" s="386" t="n">
        <v>37103</v>
      </c>
      <c r="E40" s="30"/>
      <c r="F40" s="387" t="n">
        <v>469765.91</v>
      </c>
      <c r="G40" s="385"/>
      <c r="R40" s="30"/>
      <c r="S40" s="30"/>
      <c r="T40" s="30"/>
      <c r="U40" s="30"/>
      <c r="AD40" s="123"/>
      <c r="AE40" s="381"/>
      <c r="AF40" s="108"/>
      <c r="AG40" s="108"/>
      <c r="AH40" s="184"/>
      <c r="AI40" s="104"/>
      <c r="AJ40" s="79"/>
    </row>
    <row r="41" customFormat="false" ht="18" hidden="false" customHeight="true" outlineLevel="0" collapsed="false">
      <c r="A41" s="386" t="n">
        <v>37130</v>
      </c>
      <c r="E41" s="30"/>
      <c r="F41" s="103" t="n">
        <f aca="false">+F40+F39</f>
        <v>446749.2</v>
      </c>
      <c r="G41" s="385"/>
      <c r="R41" s="30"/>
      <c r="S41" s="30"/>
      <c r="T41" s="30"/>
      <c r="U41" s="30"/>
      <c r="AD41" s="123"/>
      <c r="AE41" s="381"/>
      <c r="AF41" s="108"/>
      <c r="AG41" s="108"/>
      <c r="AH41" s="184"/>
      <c r="AI41" s="104"/>
      <c r="AJ41" s="79"/>
    </row>
    <row r="42" customFormat="false" ht="18" hidden="false" customHeight="true" outlineLevel="0" collapsed="false">
      <c r="C42" s="9"/>
      <c r="F42" s="28"/>
      <c r="G42" s="28"/>
      <c r="R42" s="30"/>
      <c r="S42" s="30"/>
      <c r="T42" s="30"/>
      <c r="U42" s="30"/>
      <c r="AD42" s="123"/>
      <c r="AE42" s="381"/>
      <c r="AF42" s="108"/>
      <c r="AG42" s="108"/>
      <c r="AH42" s="184"/>
      <c r="AI42" s="104"/>
      <c r="AJ42" s="79"/>
    </row>
    <row r="43" customFormat="false" ht="18" hidden="false" customHeight="true" outlineLevel="0" collapsed="false">
      <c r="C43" s="111"/>
      <c r="D43" s="388"/>
      <c r="F43" s="28"/>
      <c r="G43" s="341"/>
      <c r="R43" s="30"/>
      <c r="S43" s="30"/>
      <c r="T43" s="30"/>
      <c r="U43" s="30"/>
      <c r="AD43" s="123"/>
      <c r="AE43" s="381"/>
      <c r="AF43" s="108"/>
      <c r="AG43" s="108"/>
      <c r="AH43" s="184"/>
      <c r="AI43" s="104"/>
      <c r="AJ43" s="79"/>
    </row>
    <row r="44" customFormat="false" ht="18" hidden="false" customHeight="true" outlineLevel="0" collapsed="false">
      <c r="C44" s="111"/>
      <c r="D44" s="388"/>
      <c r="F44" s="28"/>
      <c r="G44" s="341"/>
      <c r="AD44" s="123"/>
      <c r="AE44" s="381"/>
      <c r="AF44" s="108"/>
      <c r="AG44" s="108"/>
      <c r="AH44" s="184"/>
      <c r="AI44" s="104"/>
      <c r="AJ44" s="79"/>
    </row>
    <row r="45" customFormat="false" ht="18" hidden="false" customHeight="true" outlineLevel="0" collapsed="false">
      <c r="A45" s="9" t="s">
        <v>125</v>
      </c>
      <c r="B45" s="9"/>
      <c r="C45" s="9"/>
      <c r="D45" s="9"/>
      <c r="F45" s="28"/>
      <c r="G45" s="341"/>
      <c r="AD45" s="123"/>
      <c r="AE45" s="381"/>
      <c r="AF45" s="108"/>
      <c r="AG45" s="108"/>
      <c r="AH45" s="184"/>
      <c r="AI45" s="104"/>
      <c r="AJ45" s="79"/>
    </row>
    <row r="46" customFormat="false" ht="18" hidden="false" customHeight="true" outlineLevel="0" collapsed="false">
      <c r="A46" s="124" t="n">
        <f aca="false">+A40</f>
        <v>37103</v>
      </c>
      <c r="B46" s="9"/>
      <c r="C46" s="9"/>
      <c r="D46" s="301" t="n">
        <v>29027</v>
      </c>
      <c r="F46" s="28"/>
      <c r="G46" s="341"/>
      <c r="AD46" s="123"/>
      <c r="AE46" s="381"/>
      <c r="AF46" s="108"/>
      <c r="AG46" s="108"/>
      <c r="AH46" s="184"/>
      <c r="AI46" s="104"/>
      <c r="AJ46" s="79"/>
    </row>
    <row r="47" customFormat="false" ht="18" hidden="false" customHeight="true" outlineLevel="0" collapsed="false">
      <c r="A47" s="124" t="n">
        <f aca="false">+A41</f>
        <v>37130</v>
      </c>
      <c r="B47" s="9"/>
      <c r="C47" s="9"/>
      <c r="D47" s="37" t="n">
        <f aca="false">+F37</f>
        <v>-8191</v>
      </c>
      <c r="F47" s="28"/>
      <c r="G47" s="341"/>
      <c r="AD47" s="123"/>
      <c r="AE47" s="381"/>
      <c r="AF47" s="108"/>
      <c r="AG47" s="108"/>
      <c r="AH47" s="184"/>
      <c r="AI47" s="104"/>
      <c r="AJ47" s="79"/>
    </row>
    <row r="48" customFormat="false" ht="18" hidden="false" customHeight="true" outlineLevel="0" collapsed="false">
      <c r="A48" s="9"/>
      <c r="B48" s="9"/>
      <c r="C48" s="9"/>
      <c r="D48" s="30" t="n">
        <f aca="false">+D47+D46</f>
        <v>20836</v>
      </c>
      <c r="F48" s="28"/>
      <c r="G48" s="341"/>
      <c r="AD48" s="123"/>
      <c r="AE48" s="381"/>
      <c r="AF48" s="108"/>
      <c r="AG48" s="108"/>
      <c r="AH48" s="184"/>
      <c r="AI48" s="104"/>
      <c r="AJ48" s="79"/>
    </row>
    <row r="49" customFormat="false" ht="18" hidden="false" customHeight="true" outlineLevel="0" collapsed="false">
      <c r="A49" s="127"/>
      <c r="B49" s="128"/>
      <c r="C49" s="129"/>
      <c r="D49" s="129"/>
      <c r="F49" s="28"/>
      <c r="G49" s="341"/>
      <c r="AD49" s="123"/>
      <c r="AE49" s="381"/>
      <c r="AF49" s="108"/>
      <c r="AG49" s="108"/>
      <c r="AH49" s="184"/>
      <c r="AI49" s="104"/>
      <c r="AJ49" s="79"/>
    </row>
    <row r="50" customFormat="false" ht="18" hidden="false" customHeight="true" outlineLevel="0" collapsed="false">
      <c r="C50" s="341"/>
      <c r="F50" s="28"/>
      <c r="G50" s="28"/>
      <c r="AD50" s="123"/>
      <c r="AE50" s="381"/>
      <c r="AF50" s="108"/>
      <c r="AG50" s="108"/>
      <c r="AH50" s="184"/>
      <c r="AI50" s="389"/>
      <c r="AJ50" s="79"/>
    </row>
    <row r="51" customFormat="false" ht="21.95" hidden="false" customHeight="true" outlineLevel="0" collapsed="false">
      <c r="AD51" s="123"/>
      <c r="AE51" s="381"/>
      <c r="AF51" s="108"/>
      <c r="AG51" s="108"/>
      <c r="AH51" s="184"/>
      <c r="AI51" s="390"/>
    </row>
    <row r="52" customFormat="false" ht="18" hidden="false" customHeight="true" outlineLevel="0" collapsed="false">
      <c r="AD52" s="123"/>
      <c r="AE52" s="381"/>
      <c r="AF52" s="108"/>
      <c r="AG52" s="108"/>
      <c r="AH52" s="108"/>
      <c r="AI52" s="104"/>
    </row>
    <row r="53" customFormat="false" ht="18" hidden="false" customHeight="true" outlineLevel="0" collapsed="false">
      <c r="AD53" s="144"/>
      <c r="AH53" s="108"/>
      <c r="AI53" s="104"/>
    </row>
    <row r="54" customFormat="false" ht="18" hidden="false" customHeight="true" outlineLevel="0" collapsed="false">
      <c r="AD54" s="391"/>
    </row>
    <row r="55" customFormat="false" ht="17.1" hidden="false" customHeight="true" outlineLevel="0" collapsed="false">
      <c r="AD55" s="391"/>
    </row>
    <row r="56" customFormat="false" ht="17.1" hidden="false" customHeight="true" outlineLevel="0" collapsed="false"/>
    <row r="57" customFormat="false" ht="17.1" hidden="false" customHeight="true" outlineLevel="0" collapsed="false">
      <c r="R57" s="30"/>
      <c r="S57" s="30"/>
      <c r="T57" s="30"/>
      <c r="U57" s="30"/>
    </row>
    <row r="58" customFormat="false" ht="17.1" hidden="false" customHeight="true" outlineLevel="0" collapsed="false">
      <c r="R58" s="30"/>
      <c r="S58" s="30"/>
      <c r="T58" s="30"/>
      <c r="U58" s="30"/>
    </row>
    <row r="59" customFormat="false" ht="17.1" hidden="false" customHeight="true" outlineLevel="0" collapsed="false">
      <c r="R59" s="30"/>
      <c r="S59" s="30"/>
      <c r="T59" s="30"/>
      <c r="U59" s="30"/>
      <c r="AD59" s="18"/>
      <c r="AE59" s="380"/>
      <c r="AF59" s="189"/>
      <c r="AG59" s="189"/>
      <c r="AH59" s="189"/>
      <c r="AI59" s="18"/>
      <c r="AJ59" s="18"/>
    </row>
    <row r="60" customFormat="false" ht="18" hidden="false" customHeight="true" outlineLevel="0" collapsed="false">
      <c r="R60" s="30"/>
      <c r="S60" s="30"/>
      <c r="T60" s="30"/>
      <c r="U60" s="30"/>
      <c r="AD60" s="123"/>
      <c r="AE60" s="380"/>
      <c r="AF60" s="108"/>
      <c r="AG60" s="108"/>
      <c r="AH60" s="108"/>
      <c r="AI60" s="104"/>
      <c r="AJ60" s="103"/>
    </row>
    <row r="61" customFormat="false" ht="18" hidden="false" customHeight="true" outlineLevel="0" collapsed="false">
      <c r="R61" s="30"/>
      <c r="S61" s="30"/>
      <c r="T61" s="30"/>
      <c r="U61" s="30"/>
      <c r="AD61" s="123"/>
      <c r="AE61" s="380"/>
      <c r="AF61" s="108"/>
      <c r="AG61" s="108"/>
      <c r="AH61" s="108"/>
      <c r="AI61" s="104"/>
      <c r="AJ61" s="103"/>
    </row>
    <row r="62" customFormat="false" ht="18" hidden="false" customHeight="true" outlineLevel="0" collapsed="false">
      <c r="R62" s="30"/>
      <c r="S62" s="30"/>
      <c r="T62" s="30"/>
      <c r="U62" s="30"/>
      <c r="AD62" s="123"/>
      <c r="AE62" s="380"/>
      <c r="AF62" s="108"/>
      <c r="AG62" s="108"/>
      <c r="AH62" s="108"/>
      <c r="AI62" s="104"/>
      <c r="AJ62" s="103"/>
    </row>
    <row r="63" customFormat="false" ht="18" hidden="false" customHeight="true" outlineLevel="0" collapsed="false">
      <c r="R63" s="30"/>
      <c r="S63" s="30"/>
      <c r="T63" s="30"/>
      <c r="U63" s="30"/>
      <c r="AD63" s="123"/>
      <c r="AE63" s="380"/>
      <c r="AF63" s="108"/>
      <c r="AG63" s="108"/>
      <c r="AH63" s="108"/>
      <c r="AI63" s="104"/>
      <c r="AJ63" s="103"/>
    </row>
    <row r="64" customFormat="false" ht="18" hidden="false" customHeight="true" outlineLevel="0" collapsed="false">
      <c r="R64" s="30"/>
      <c r="S64" s="30"/>
      <c r="T64" s="30"/>
      <c r="U64" s="30"/>
      <c r="AD64" s="123"/>
      <c r="AE64" s="380"/>
      <c r="AF64" s="108"/>
      <c r="AG64" s="108"/>
      <c r="AH64" s="108"/>
      <c r="AI64" s="104"/>
      <c r="AJ64" s="103"/>
    </row>
    <row r="65" customFormat="false" ht="18" hidden="false" customHeight="true" outlineLevel="0" collapsed="false">
      <c r="R65" s="30"/>
      <c r="S65" s="30"/>
      <c r="T65" s="30"/>
      <c r="U65" s="30"/>
      <c r="AD65" s="123"/>
      <c r="AE65" s="380"/>
      <c r="AF65" s="108"/>
      <c r="AG65" s="108"/>
      <c r="AH65" s="108"/>
      <c r="AI65" s="104"/>
      <c r="AJ65" s="103"/>
    </row>
    <row r="66" customFormat="false" ht="18" hidden="false" customHeight="true" outlineLevel="0" collapsed="false">
      <c r="R66" s="30"/>
      <c r="S66" s="30"/>
      <c r="T66" s="30"/>
      <c r="U66" s="30"/>
      <c r="AD66" s="123"/>
      <c r="AE66" s="380"/>
      <c r="AF66" s="108"/>
      <c r="AG66" s="108"/>
      <c r="AH66" s="108"/>
      <c r="AI66" s="104"/>
      <c r="AJ66" s="103"/>
    </row>
    <row r="67" customFormat="false" ht="18" hidden="false" customHeight="true" outlineLevel="0" collapsed="false">
      <c r="R67" s="30"/>
      <c r="S67" s="30"/>
      <c r="T67" s="30"/>
      <c r="U67" s="30"/>
      <c r="AD67" s="123"/>
      <c r="AE67" s="380"/>
      <c r="AF67" s="108"/>
      <c r="AG67" s="108"/>
      <c r="AH67" s="108"/>
      <c r="AI67" s="104"/>
      <c r="AJ67" s="103"/>
    </row>
    <row r="68" customFormat="false" ht="18" hidden="false" customHeight="true" outlineLevel="0" collapsed="false">
      <c r="R68" s="30"/>
      <c r="S68" s="30"/>
      <c r="T68" s="30"/>
      <c r="U68" s="30"/>
      <c r="AD68" s="123"/>
      <c r="AE68" s="380"/>
      <c r="AF68" s="108"/>
      <c r="AG68" s="108"/>
      <c r="AH68" s="108"/>
      <c r="AI68" s="104"/>
      <c r="AJ68" s="103"/>
    </row>
    <row r="69" customFormat="false" ht="18" hidden="false" customHeight="true" outlineLevel="0" collapsed="false">
      <c r="C69" s="392"/>
      <c r="D69" s="108"/>
      <c r="R69" s="30"/>
      <c r="S69" s="30"/>
      <c r="T69" s="30"/>
      <c r="U69" s="30"/>
      <c r="AD69" s="123"/>
      <c r="AE69" s="380"/>
      <c r="AF69" s="108"/>
      <c r="AG69" s="108"/>
      <c r="AH69" s="108"/>
      <c r="AI69" s="104"/>
      <c r="AJ69" s="103"/>
    </row>
    <row r="70" customFormat="false" ht="18" hidden="false" customHeight="true" outlineLevel="0" collapsed="false">
      <c r="B70" s="9"/>
      <c r="C70" s="58"/>
      <c r="R70" s="30"/>
      <c r="S70" s="30"/>
      <c r="T70" s="30"/>
      <c r="U70" s="30"/>
      <c r="AD70" s="123"/>
      <c r="AE70" s="380"/>
      <c r="AF70" s="108"/>
      <c r="AG70" s="108"/>
      <c r="AH70" s="108"/>
      <c r="AI70" s="104"/>
      <c r="AJ70" s="103"/>
    </row>
    <row r="71" customFormat="false" ht="18" hidden="false" customHeight="true" outlineLevel="0" collapsed="false">
      <c r="R71" s="30"/>
      <c r="S71" s="30"/>
      <c r="T71" s="30"/>
      <c r="U71" s="30"/>
      <c r="AD71" s="123"/>
      <c r="AE71" s="380"/>
      <c r="AF71" s="108"/>
      <c r="AG71" s="108"/>
      <c r="AH71" s="108"/>
      <c r="AI71" s="104"/>
      <c r="AJ71" s="103"/>
    </row>
    <row r="72" customFormat="false" ht="18" hidden="false" customHeight="true" outlineLevel="0" collapsed="false">
      <c r="A72" s="143"/>
      <c r="R72" s="30"/>
      <c r="S72" s="30"/>
      <c r="T72" s="30"/>
      <c r="U72" s="30"/>
      <c r="AD72" s="123"/>
      <c r="AE72" s="380"/>
      <c r="AF72" s="108"/>
      <c r="AG72" s="108"/>
      <c r="AH72" s="108"/>
      <c r="AI72" s="104"/>
      <c r="AJ72" s="103"/>
    </row>
    <row r="73" customFormat="false" ht="18" hidden="false" customHeight="true" outlineLevel="0" collapsed="false">
      <c r="A73" s="9"/>
      <c r="B73" s="9"/>
      <c r="C73" s="58"/>
      <c r="R73" s="30"/>
      <c r="S73" s="30"/>
      <c r="T73" s="30"/>
      <c r="U73" s="30"/>
      <c r="AD73" s="123"/>
      <c r="AE73" s="380"/>
      <c r="AF73" s="108"/>
      <c r="AG73" s="108"/>
      <c r="AH73" s="108"/>
      <c r="AI73" s="104"/>
      <c r="AJ73" s="103"/>
    </row>
    <row r="74" customFormat="false" ht="18" hidden="false" customHeight="true" outlineLevel="0" collapsed="false">
      <c r="A74" s="9"/>
      <c r="B74" s="9"/>
      <c r="C74" s="58"/>
      <c r="R74" s="30"/>
      <c r="S74" s="30"/>
      <c r="T74" s="30"/>
      <c r="U74" s="30"/>
      <c r="AD74" s="123"/>
      <c r="AE74" s="380"/>
      <c r="AF74" s="108"/>
      <c r="AG74" s="108"/>
      <c r="AH74" s="108"/>
      <c r="AI74" s="104"/>
      <c r="AJ74" s="103"/>
    </row>
    <row r="75" customFormat="false" ht="18" hidden="false" customHeight="true" outlineLevel="0" collapsed="false">
      <c r="R75" s="30"/>
      <c r="S75" s="30"/>
      <c r="T75" s="30"/>
      <c r="U75" s="30"/>
      <c r="AD75" s="123"/>
      <c r="AE75" s="380"/>
      <c r="AF75" s="108"/>
      <c r="AG75" s="108"/>
      <c r="AH75" s="108"/>
      <c r="AI75" s="104"/>
      <c r="AJ75" s="103"/>
    </row>
    <row r="76" customFormat="false" ht="18" hidden="false" customHeight="true" outlineLevel="0" collapsed="false">
      <c r="C76" s="392"/>
      <c r="D76" s="108"/>
      <c r="R76" s="30"/>
      <c r="S76" s="30"/>
      <c r="T76" s="30"/>
      <c r="U76" s="30"/>
      <c r="AD76" s="123"/>
      <c r="AE76" s="380"/>
      <c r="AF76" s="108"/>
      <c r="AG76" s="108"/>
      <c r="AH76" s="108"/>
      <c r="AI76" s="104"/>
      <c r="AJ76" s="103"/>
    </row>
    <row r="77" customFormat="false" ht="18" hidden="false" customHeight="true" outlineLevel="0" collapsed="false">
      <c r="C77" s="392"/>
      <c r="D77" s="108"/>
      <c r="R77" s="30"/>
      <c r="S77" s="30"/>
      <c r="T77" s="30"/>
      <c r="U77" s="30"/>
      <c r="AD77" s="123"/>
      <c r="AE77" s="380"/>
      <c r="AF77" s="108"/>
      <c r="AG77" s="108"/>
      <c r="AH77" s="108"/>
      <c r="AI77" s="104"/>
      <c r="AJ77" s="103"/>
    </row>
    <row r="78" customFormat="false" ht="18" hidden="false" customHeight="true" outlineLevel="0" collapsed="false">
      <c r="C78" s="393"/>
      <c r="D78" s="108"/>
      <c r="R78" s="30"/>
      <c r="S78" s="30"/>
      <c r="T78" s="30"/>
      <c r="U78" s="30"/>
      <c r="AD78" s="123"/>
      <c r="AE78" s="380"/>
      <c r="AF78" s="108"/>
      <c r="AG78" s="108"/>
      <c r="AH78" s="108"/>
      <c r="AI78" s="104"/>
      <c r="AJ78" s="103"/>
    </row>
    <row r="79" customFormat="false" ht="18" hidden="false" customHeight="true" outlineLevel="0" collapsed="false">
      <c r="C79" s="394"/>
      <c r="R79" s="30"/>
      <c r="S79" s="30"/>
      <c r="T79" s="30"/>
      <c r="U79" s="30"/>
      <c r="AD79" s="123"/>
      <c r="AE79" s="380"/>
      <c r="AF79" s="108"/>
      <c r="AG79" s="108"/>
      <c r="AH79" s="108"/>
      <c r="AI79" s="104"/>
      <c r="AJ79" s="103"/>
    </row>
    <row r="80" customFormat="false" ht="18" hidden="false" customHeight="true" outlineLevel="0" collapsed="false">
      <c r="R80" s="30"/>
      <c r="S80" s="30"/>
      <c r="T80" s="30"/>
      <c r="U80" s="30"/>
      <c r="AD80" s="123"/>
      <c r="AE80" s="380"/>
      <c r="AF80" s="108"/>
      <c r="AG80" s="108"/>
      <c r="AH80" s="108"/>
      <c r="AI80" s="104"/>
      <c r="AJ80" s="103"/>
    </row>
    <row r="81" customFormat="false" ht="18" hidden="false" customHeight="true" outlineLevel="0" collapsed="false">
      <c r="C81" s="392"/>
      <c r="D81" s="108"/>
      <c r="R81" s="30"/>
      <c r="S81" s="30"/>
      <c r="T81" s="30"/>
      <c r="U81" s="30"/>
      <c r="AD81" s="123"/>
      <c r="AE81" s="380"/>
      <c r="AF81" s="108"/>
      <c r="AG81" s="108"/>
      <c r="AH81" s="108"/>
      <c r="AI81" s="104"/>
      <c r="AJ81" s="103"/>
    </row>
    <row r="82" customFormat="false" ht="18" hidden="false" customHeight="true" outlineLevel="0" collapsed="false">
      <c r="C82" s="392"/>
      <c r="D82" s="108"/>
      <c r="R82" s="30"/>
      <c r="S82" s="30"/>
      <c r="T82" s="30"/>
      <c r="U82" s="30"/>
      <c r="AD82" s="123"/>
      <c r="AE82" s="380"/>
      <c r="AF82" s="108"/>
      <c r="AG82" s="108"/>
      <c r="AH82" s="108"/>
      <c r="AI82" s="104"/>
      <c r="AJ82" s="103"/>
    </row>
    <row r="83" customFormat="false" ht="18" hidden="false" customHeight="true" outlineLevel="0" collapsed="false">
      <c r="C83" s="392"/>
      <c r="D83" s="108"/>
      <c r="R83" s="30"/>
      <c r="S83" s="30"/>
      <c r="T83" s="30"/>
      <c r="U83" s="30"/>
      <c r="AD83" s="123"/>
      <c r="AE83" s="380"/>
      <c r="AF83" s="108"/>
      <c r="AG83" s="108"/>
      <c r="AH83" s="108"/>
      <c r="AI83" s="104"/>
      <c r="AJ83" s="242"/>
    </row>
    <row r="84" customFormat="false" ht="24.95" hidden="false" customHeight="true" outlineLevel="0" collapsed="false">
      <c r="C84" s="393"/>
      <c r="D84" s="108"/>
      <c r="R84" s="30"/>
      <c r="S84" s="30"/>
      <c r="T84" s="30"/>
      <c r="U84" s="30"/>
      <c r="AD84" s="391"/>
      <c r="AE84" s="380"/>
      <c r="AF84" s="108"/>
      <c r="AG84" s="108"/>
      <c r="AH84" s="108"/>
      <c r="AI84" s="104"/>
      <c r="AJ84" s="395"/>
    </row>
    <row r="85" customFormat="false" ht="15" hidden="false" customHeight="true" outlineLevel="0" collapsed="false">
      <c r="C85" s="394"/>
      <c r="R85" s="30"/>
      <c r="S85" s="30"/>
      <c r="T85" s="30"/>
      <c r="U85" s="30"/>
      <c r="AD85" s="123"/>
      <c r="AE85" s="381"/>
      <c r="AF85" s="108"/>
      <c r="AG85" s="108"/>
      <c r="AH85" s="108"/>
      <c r="AI85" s="104"/>
      <c r="AJ85" s="79"/>
    </row>
    <row r="86" customFormat="false" ht="24.95" hidden="false" customHeight="true" outlineLevel="0" collapsed="false">
      <c r="R86" s="30"/>
      <c r="S86" s="30"/>
      <c r="T86" s="30"/>
      <c r="U86" s="30"/>
      <c r="AD86" s="391"/>
      <c r="AE86" s="381"/>
      <c r="AF86" s="108"/>
      <c r="AG86" s="108"/>
      <c r="AH86" s="108"/>
      <c r="AI86" s="104"/>
      <c r="AJ86" s="79"/>
    </row>
    <row r="87" customFormat="false" ht="24.95" hidden="false" customHeight="true" outlineLevel="0" collapsed="false">
      <c r="C87" s="369"/>
      <c r="R87" s="30"/>
      <c r="S87" s="30"/>
      <c r="T87" s="30"/>
      <c r="U87" s="30"/>
      <c r="AD87" s="396"/>
      <c r="AE87" s="381"/>
      <c r="AF87" s="108"/>
      <c r="AG87" s="108"/>
      <c r="AH87" s="108"/>
      <c r="AI87" s="397"/>
      <c r="AJ87" s="341"/>
    </row>
    <row r="88" customFormat="false" ht="24.95" hidden="false" customHeight="true" outlineLevel="0" collapsed="false">
      <c r="C88" s="392"/>
      <c r="D88" s="108"/>
      <c r="R88" s="30"/>
      <c r="S88" s="30"/>
      <c r="T88" s="30"/>
      <c r="U88" s="30"/>
      <c r="AD88" s="144"/>
      <c r="AJ88" s="341"/>
    </row>
    <row r="89" customFormat="false" ht="15" hidden="false" customHeight="true" outlineLevel="0" collapsed="false">
      <c r="D89" s="108"/>
      <c r="E89" s="117"/>
      <c r="F89" s="19"/>
      <c r="G89" s="18"/>
      <c r="H89" s="349"/>
      <c r="I89" s="108"/>
      <c r="J89" s="108"/>
      <c r="K89" s="18"/>
      <c r="L89" s="349"/>
      <c r="M89" s="108"/>
      <c r="N89" s="108"/>
      <c r="O89" s="18"/>
      <c r="P89" s="349"/>
      <c r="Q89" s="108"/>
      <c r="R89" s="108"/>
      <c r="S89" s="123"/>
      <c r="T89" s="349"/>
      <c r="U89" s="108"/>
      <c r="V89" s="108"/>
      <c r="AD89" s="398"/>
      <c r="AJ89" s="341"/>
    </row>
    <row r="90" customFormat="false" ht="15" hidden="false" customHeight="true" outlineLevel="0" collapsed="false">
      <c r="D90" s="108"/>
      <c r="E90" s="117"/>
      <c r="F90" s="19"/>
      <c r="G90" s="18"/>
      <c r="H90" s="108"/>
      <c r="I90" s="108"/>
      <c r="J90" s="108"/>
      <c r="K90" s="18"/>
      <c r="L90" s="108"/>
      <c r="M90" s="108"/>
      <c r="N90" s="108"/>
      <c r="O90" s="18"/>
      <c r="P90" s="108"/>
      <c r="Q90" s="108"/>
      <c r="R90" s="108"/>
      <c r="S90" s="18"/>
      <c r="T90" s="108"/>
      <c r="U90" s="108"/>
      <c r="V90" s="108"/>
      <c r="AD90" s="398"/>
      <c r="AJ90" s="341"/>
    </row>
    <row r="91" customFormat="false" ht="15" hidden="false" customHeight="true" outlineLevel="0" collapsed="false">
      <c r="D91" s="108"/>
      <c r="E91" s="117"/>
      <c r="F91" s="19"/>
      <c r="G91" s="18"/>
      <c r="H91" s="108"/>
      <c r="I91" s="108"/>
      <c r="J91" s="108"/>
      <c r="K91" s="18"/>
      <c r="L91" s="108"/>
      <c r="M91" s="108"/>
      <c r="N91" s="108"/>
      <c r="O91" s="18"/>
      <c r="P91" s="108"/>
      <c r="Q91" s="108"/>
      <c r="R91" s="108"/>
      <c r="S91" s="18"/>
      <c r="T91" s="108"/>
      <c r="U91" s="108"/>
      <c r="V91" s="108"/>
      <c r="AD91" s="398"/>
      <c r="AJ91" s="28"/>
    </row>
    <row r="92" customFormat="false" ht="15" hidden="false" customHeight="true" outlineLevel="0" collapsed="false">
      <c r="D92" s="108"/>
      <c r="E92" s="117"/>
      <c r="F92" s="19"/>
      <c r="G92" s="18"/>
      <c r="H92" s="108"/>
      <c r="I92" s="108"/>
      <c r="J92" s="108"/>
      <c r="K92" s="18"/>
      <c r="L92" s="108"/>
      <c r="M92" s="108"/>
      <c r="N92" s="108"/>
      <c r="O92" s="18"/>
      <c r="P92" s="108"/>
      <c r="Q92" s="108"/>
      <c r="R92" s="108"/>
      <c r="S92" s="18"/>
      <c r="T92" s="108"/>
      <c r="U92" s="108"/>
      <c r="V92" s="108"/>
      <c r="X92" s="156"/>
      <c r="AD92" s="398"/>
      <c r="AJ92" s="28"/>
    </row>
    <row r="93" customFormat="false" ht="15.75" hidden="false" customHeight="false" outlineLevel="0" collapsed="false">
      <c r="D93" s="108"/>
      <c r="E93" s="117"/>
      <c r="F93" s="19"/>
      <c r="G93" s="18"/>
      <c r="H93" s="108"/>
      <c r="I93" s="108"/>
      <c r="J93" s="108"/>
      <c r="K93" s="18"/>
      <c r="L93" s="108"/>
      <c r="M93" s="108"/>
      <c r="N93" s="108"/>
      <c r="O93" s="18"/>
      <c r="P93" s="108"/>
      <c r="Q93" s="108"/>
      <c r="R93" s="108"/>
      <c r="S93" s="18"/>
      <c r="T93" s="108"/>
      <c r="U93" s="108"/>
      <c r="V93" s="108"/>
      <c r="X93" s="156"/>
      <c r="AD93" s="398"/>
    </row>
    <row r="94" customFormat="false" ht="15.75" hidden="false" customHeight="false" outlineLevel="0" collapsed="false">
      <c r="D94" s="108"/>
      <c r="E94" s="117"/>
      <c r="F94" s="19"/>
      <c r="G94" s="18"/>
      <c r="H94" s="108"/>
      <c r="I94" s="108"/>
      <c r="J94" s="108"/>
      <c r="K94" s="18"/>
      <c r="L94" s="108"/>
      <c r="M94" s="108"/>
      <c r="N94" s="108"/>
      <c r="O94" s="18"/>
      <c r="P94" s="108"/>
      <c r="Q94" s="108"/>
      <c r="R94" s="108"/>
      <c r="S94" s="18"/>
      <c r="T94" s="108"/>
      <c r="U94" s="108"/>
      <c r="V94" s="108"/>
      <c r="X94" s="156"/>
      <c r="AD94" s="398"/>
    </row>
    <row r="95" customFormat="false" ht="15.75" hidden="false" customHeight="false" outlineLevel="0" collapsed="false">
      <c r="D95" s="108"/>
      <c r="E95" s="117"/>
      <c r="F95" s="19"/>
      <c r="G95" s="18"/>
      <c r="H95" s="108"/>
      <c r="I95" s="108"/>
      <c r="J95" s="108"/>
      <c r="K95" s="18"/>
      <c r="L95" s="108"/>
      <c r="M95" s="108"/>
      <c r="N95" s="108"/>
      <c r="O95" s="18"/>
      <c r="P95" s="108"/>
      <c r="Q95" s="108"/>
      <c r="R95" s="108"/>
      <c r="S95" s="18"/>
      <c r="T95" s="108"/>
      <c r="U95" s="108"/>
      <c r="V95" s="108"/>
      <c r="X95" s="156"/>
      <c r="AD95" s="398"/>
    </row>
    <row r="96" customFormat="false" ht="15.75" hidden="false" customHeight="false" outlineLevel="0" collapsed="false">
      <c r="D96" s="108"/>
      <c r="E96" s="117"/>
      <c r="F96" s="19"/>
      <c r="G96" s="18"/>
      <c r="H96" s="108"/>
      <c r="I96" s="108"/>
      <c r="J96" s="108"/>
      <c r="K96" s="18"/>
      <c r="L96" s="108"/>
      <c r="M96" s="108"/>
      <c r="N96" s="108"/>
      <c r="O96" s="18"/>
      <c r="P96" s="108"/>
      <c r="Q96" s="108"/>
      <c r="R96" s="108"/>
      <c r="S96" s="18"/>
      <c r="T96" s="108"/>
      <c r="U96" s="108"/>
      <c r="V96" s="108"/>
      <c r="X96" s="156"/>
      <c r="AD96" s="398"/>
    </row>
    <row r="97" customFormat="false" ht="15.75" hidden="false" customHeight="false" outlineLevel="0" collapsed="false">
      <c r="D97" s="108"/>
      <c r="E97" s="117"/>
      <c r="F97" s="19"/>
      <c r="G97" s="18"/>
      <c r="H97" s="108"/>
      <c r="I97" s="108"/>
      <c r="J97" s="108"/>
      <c r="K97" s="18"/>
      <c r="L97" s="108"/>
      <c r="M97" s="108"/>
      <c r="N97" s="108"/>
      <c r="O97" s="18"/>
      <c r="P97" s="108"/>
      <c r="Q97" s="108"/>
      <c r="R97" s="108"/>
      <c r="S97" s="18"/>
      <c r="T97" s="108"/>
      <c r="U97" s="108"/>
      <c r="V97" s="108"/>
      <c r="X97" s="156"/>
      <c r="AD97" s="19"/>
    </row>
    <row r="98" customFormat="false" ht="15.75" hidden="false" customHeight="false" outlineLevel="0" collapsed="false">
      <c r="D98" s="108"/>
      <c r="E98" s="117"/>
      <c r="F98" s="19"/>
      <c r="G98" s="18"/>
      <c r="H98" s="108"/>
      <c r="I98" s="108"/>
      <c r="J98" s="108"/>
      <c r="K98" s="18"/>
      <c r="L98" s="108"/>
      <c r="M98" s="108"/>
      <c r="N98" s="108"/>
      <c r="O98" s="18"/>
      <c r="P98" s="108"/>
      <c r="Q98" s="108"/>
      <c r="R98" s="108"/>
      <c r="S98" s="18"/>
      <c r="T98" s="108"/>
      <c r="U98" s="108"/>
      <c r="V98" s="108"/>
      <c r="X98" s="399"/>
    </row>
    <row r="99" customFormat="false" ht="15.75" hidden="false" customHeight="false" outlineLevel="0" collapsed="false">
      <c r="D99" s="108"/>
      <c r="E99" s="117"/>
      <c r="F99" s="19"/>
      <c r="G99" s="18"/>
      <c r="H99" s="108"/>
      <c r="I99" s="108"/>
      <c r="J99" s="108"/>
      <c r="K99" s="18"/>
      <c r="L99" s="108"/>
      <c r="M99" s="108"/>
      <c r="N99" s="108"/>
      <c r="O99" s="18"/>
      <c r="P99" s="108"/>
      <c r="Q99" s="108"/>
      <c r="R99" s="108"/>
      <c r="S99" s="18"/>
      <c r="T99" s="108"/>
      <c r="U99" s="108"/>
      <c r="V99" s="108"/>
      <c r="X99" s="399"/>
    </row>
    <row r="100" customFormat="false" ht="15.75" hidden="false" customHeight="false" outlineLevel="0" collapsed="false">
      <c r="D100" s="108"/>
      <c r="E100" s="117"/>
      <c r="F100" s="19"/>
      <c r="G100" s="18"/>
      <c r="H100" s="108"/>
      <c r="I100" s="108"/>
      <c r="J100" s="108"/>
      <c r="K100" s="18"/>
      <c r="L100" s="108"/>
      <c r="M100" s="108"/>
      <c r="N100" s="108"/>
      <c r="O100" s="18"/>
      <c r="P100" s="108"/>
      <c r="Q100" s="108"/>
      <c r="R100" s="108"/>
      <c r="S100" s="18"/>
      <c r="T100" s="108"/>
      <c r="U100" s="108"/>
      <c r="V100" s="108"/>
      <c r="X100" s="156"/>
    </row>
    <row r="101" customFormat="false" ht="15.75" hidden="false" customHeight="false" outlineLevel="0" collapsed="false">
      <c r="D101" s="108"/>
      <c r="E101" s="117"/>
      <c r="F101" s="19"/>
      <c r="G101" s="18"/>
      <c r="H101" s="108"/>
      <c r="I101" s="108"/>
      <c r="J101" s="108"/>
      <c r="K101" s="18"/>
      <c r="L101" s="108"/>
      <c r="M101" s="108"/>
      <c r="N101" s="108"/>
      <c r="O101" s="18"/>
      <c r="P101" s="108"/>
      <c r="Q101" s="108"/>
      <c r="R101" s="108"/>
      <c r="S101" s="18"/>
      <c r="T101" s="108"/>
      <c r="U101" s="108"/>
      <c r="V101" s="108"/>
      <c r="X101" s="399"/>
      <c r="AD101" s="18"/>
      <c r="AE101" s="380"/>
      <c r="AF101" s="189"/>
      <c r="AG101" s="189"/>
      <c r="AH101" s="189"/>
      <c r="AI101" s="18"/>
      <c r="AJ101" s="18"/>
    </row>
    <row r="102" customFormat="false" ht="15.75" hidden="false" customHeight="false" outlineLevel="0" collapsed="false">
      <c r="D102" s="108"/>
      <c r="E102" s="117"/>
      <c r="F102" s="19"/>
      <c r="G102" s="18"/>
      <c r="H102" s="108"/>
      <c r="I102" s="108"/>
      <c r="J102" s="108"/>
      <c r="K102" s="18"/>
      <c r="L102" s="108"/>
      <c r="M102" s="108"/>
      <c r="N102" s="108"/>
      <c r="O102" s="18"/>
      <c r="P102" s="108"/>
      <c r="Q102" s="108"/>
      <c r="R102" s="108"/>
      <c r="S102" s="18"/>
      <c r="T102" s="108"/>
      <c r="U102" s="108"/>
      <c r="V102" s="108"/>
      <c r="X102" s="156"/>
      <c r="AD102" s="123"/>
      <c r="AE102" s="381"/>
      <c r="AF102" s="108"/>
      <c r="AG102" s="108"/>
      <c r="AH102" s="108"/>
      <c r="AI102" s="104"/>
      <c r="AJ102" s="103"/>
    </row>
    <row r="103" customFormat="false" ht="15.75" hidden="false" customHeight="false" outlineLevel="0" collapsed="false">
      <c r="D103" s="108"/>
      <c r="E103" s="117"/>
      <c r="F103" s="19"/>
      <c r="G103" s="18"/>
      <c r="H103" s="108"/>
      <c r="I103" s="108"/>
      <c r="J103" s="108"/>
      <c r="K103" s="18"/>
      <c r="L103" s="108"/>
      <c r="M103" s="108"/>
      <c r="N103" s="108"/>
      <c r="O103" s="18"/>
      <c r="P103" s="108"/>
      <c r="Q103" s="108"/>
      <c r="R103" s="108"/>
      <c r="S103" s="18"/>
      <c r="T103" s="108"/>
      <c r="U103" s="108"/>
      <c r="V103" s="108"/>
      <c r="X103" s="400"/>
      <c r="AD103" s="123"/>
      <c r="AE103" s="381"/>
      <c r="AF103" s="108"/>
      <c r="AG103" s="108"/>
      <c r="AH103" s="108"/>
      <c r="AI103" s="104"/>
      <c r="AJ103" s="103"/>
    </row>
    <row r="104" customFormat="false" ht="15.75" hidden="false" customHeight="false" outlineLevel="0" collapsed="false">
      <c r="D104" s="108"/>
      <c r="E104" s="117"/>
      <c r="F104" s="19"/>
      <c r="G104" s="18"/>
      <c r="H104" s="108"/>
      <c r="I104" s="108"/>
      <c r="J104" s="108"/>
      <c r="K104" s="18"/>
      <c r="L104" s="108"/>
      <c r="M104" s="108"/>
      <c r="N104" s="108"/>
      <c r="O104" s="18"/>
      <c r="P104" s="108"/>
      <c r="Q104" s="108"/>
      <c r="R104" s="108"/>
      <c r="S104" s="18"/>
      <c r="T104" s="108"/>
      <c r="U104" s="108"/>
      <c r="V104" s="108"/>
      <c r="X104" s="399"/>
      <c r="AD104" s="123"/>
      <c r="AE104" s="381"/>
      <c r="AF104" s="108"/>
      <c r="AG104" s="108"/>
      <c r="AH104" s="108"/>
      <c r="AI104" s="104"/>
      <c r="AJ104" s="103"/>
    </row>
    <row r="105" customFormat="false" ht="15.75" hidden="false" customHeight="false" outlineLevel="0" collapsed="false">
      <c r="D105" s="108"/>
      <c r="E105" s="117"/>
      <c r="F105" s="19"/>
      <c r="G105" s="18"/>
      <c r="H105" s="108"/>
      <c r="I105" s="108"/>
      <c r="J105" s="108"/>
      <c r="K105" s="18"/>
      <c r="L105" s="108"/>
      <c r="M105" s="108"/>
      <c r="N105" s="108"/>
      <c r="O105" s="18"/>
      <c r="P105" s="108"/>
      <c r="Q105" s="108"/>
      <c r="R105" s="108"/>
      <c r="S105" s="18"/>
      <c r="T105" s="108"/>
      <c r="U105" s="108"/>
      <c r="V105" s="108"/>
      <c r="X105" s="399"/>
      <c r="AD105" s="123"/>
      <c r="AE105" s="381"/>
      <c r="AF105" s="108"/>
      <c r="AG105" s="108"/>
      <c r="AH105" s="108"/>
      <c r="AI105" s="104"/>
      <c r="AJ105" s="103"/>
    </row>
    <row r="106" customFormat="false" ht="15.75" hidden="false" customHeight="false" outlineLevel="0" collapsed="false">
      <c r="D106" s="108"/>
      <c r="E106" s="117"/>
      <c r="F106" s="19"/>
      <c r="G106" s="18"/>
      <c r="H106" s="108"/>
      <c r="I106" s="108"/>
      <c r="J106" s="108"/>
      <c r="K106" s="18"/>
      <c r="L106" s="108"/>
      <c r="M106" s="108"/>
      <c r="N106" s="108"/>
      <c r="O106" s="18"/>
      <c r="P106" s="108"/>
      <c r="Q106" s="108"/>
      <c r="R106" s="108"/>
      <c r="S106" s="18"/>
      <c r="T106" s="108"/>
      <c r="U106" s="108"/>
      <c r="V106" s="108"/>
      <c r="X106" s="399"/>
      <c r="AD106" s="123"/>
      <c r="AE106" s="381"/>
      <c r="AF106" s="108"/>
      <c r="AG106" s="108"/>
      <c r="AH106" s="108"/>
      <c r="AI106" s="104"/>
      <c r="AJ106" s="103"/>
    </row>
    <row r="107" customFormat="false" ht="15.75" hidden="false" customHeight="false" outlineLevel="0" collapsed="false">
      <c r="D107" s="108"/>
      <c r="E107" s="117"/>
      <c r="F107" s="19"/>
      <c r="G107" s="18"/>
      <c r="H107" s="108"/>
      <c r="I107" s="108"/>
      <c r="J107" s="108"/>
      <c r="K107" s="18"/>
      <c r="L107" s="108"/>
      <c r="M107" s="108"/>
      <c r="N107" s="108"/>
      <c r="O107" s="18"/>
      <c r="P107" s="108"/>
      <c r="Q107" s="108"/>
      <c r="R107" s="108"/>
      <c r="S107" s="18"/>
      <c r="T107" s="108"/>
      <c r="U107" s="108"/>
      <c r="V107" s="108"/>
      <c r="X107" s="156"/>
      <c r="AD107" s="123"/>
      <c r="AE107" s="381"/>
      <c r="AF107" s="108"/>
      <c r="AG107" s="108"/>
      <c r="AH107" s="108"/>
      <c r="AI107" s="104"/>
      <c r="AJ107" s="103"/>
    </row>
    <row r="108" customFormat="false" ht="15.75" hidden="false" customHeight="false" outlineLevel="0" collapsed="false">
      <c r="D108" s="108"/>
      <c r="E108" s="117"/>
      <c r="F108" s="19"/>
      <c r="G108" s="18"/>
      <c r="H108" s="108"/>
      <c r="I108" s="108"/>
      <c r="J108" s="108"/>
      <c r="K108" s="18"/>
      <c r="L108" s="108"/>
      <c r="M108" s="108"/>
      <c r="N108" s="108"/>
      <c r="O108" s="18"/>
      <c r="P108" s="108"/>
      <c r="Q108" s="108"/>
      <c r="R108" s="108"/>
      <c r="S108" s="18"/>
      <c r="T108" s="108"/>
      <c r="U108" s="108"/>
      <c r="V108" s="108"/>
      <c r="X108" s="156"/>
      <c r="AD108" s="123"/>
      <c r="AE108" s="381"/>
      <c r="AF108" s="108"/>
      <c r="AG108" s="108"/>
      <c r="AH108" s="108"/>
      <c r="AI108" s="104"/>
      <c r="AJ108" s="103"/>
    </row>
    <row r="109" customFormat="false" ht="15.75" hidden="false" customHeight="false" outlineLevel="0" collapsed="false">
      <c r="D109" s="108"/>
      <c r="E109" s="117"/>
      <c r="F109" s="19"/>
      <c r="G109" s="18"/>
      <c r="H109" s="108"/>
      <c r="I109" s="108"/>
      <c r="J109" s="108"/>
      <c r="K109" s="18"/>
      <c r="L109" s="108"/>
      <c r="M109" s="108"/>
      <c r="N109" s="108"/>
      <c r="O109" s="18"/>
      <c r="P109" s="108"/>
      <c r="Q109" s="108"/>
      <c r="R109" s="108"/>
      <c r="S109" s="18"/>
      <c r="T109" s="108"/>
      <c r="U109" s="108"/>
      <c r="V109" s="108"/>
      <c r="X109" s="156"/>
      <c r="AD109" s="123"/>
      <c r="AE109" s="381"/>
      <c r="AF109" s="108"/>
      <c r="AG109" s="108"/>
      <c r="AH109" s="108"/>
      <c r="AI109" s="104"/>
      <c r="AJ109" s="103"/>
    </row>
    <row r="110" customFormat="false" ht="11.25" hidden="false" customHeight="false" outlineLevel="0" collapsed="false">
      <c r="D110" s="108"/>
      <c r="E110" s="117"/>
      <c r="F110" s="19"/>
      <c r="G110" s="18"/>
      <c r="H110" s="108"/>
      <c r="I110" s="108"/>
      <c r="J110" s="108"/>
      <c r="K110" s="18"/>
      <c r="L110" s="108"/>
      <c r="M110" s="108"/>
      <c r="N110" s="108"/>
      <c r="O110" s="18"/>
      <c r="P110" s="108"/>
      <c r="Q110" s="108"/>
      <c r="R110" s="108"/>
      <c r="S110" s="18"/>
      <c r="T110" s="108"/>
      <c r="U110" s="108"/>
      <c r="V110" s="108"/>
      <c r="AD110" s="123"/>
      <c r="AE110" s="381"/>
      <c r="AF110" s="108"/>
      <c r="AG110" s="108"/>
      <c r="AH110" s="108"/>
      <c r="AI110" s="104"/>
      <c r="AJ110" s="103"/>
    </row>
    <row r="111" customFormat="false" ht="11.25" hidden="false" customHeight="false" outlineLevel="0" collapsed="false">
      <c r="D111" s="108"/>
      <c r="E111" s="117"/>
      <c r="F111" s="19"/>
      <c r="G111" s="18"/>
      <c r="H111" s="108"/>
      <c r="I111" s="108"/>
      <c r="J111" s="108"/>
      <c r="K111" s="18"/>
      <c r="L111" s="108"/>
      <c r="M111" s="108"/>
      <c r="N111" s="108"/>
      <c r="O111" s="18"/>
      <c r="P111" s="108"/>
      <c r="Q111" s="108"/>
      <c r="R111" s="108"/>
      <c r="S111" s="18"/>
      <c r="T111" s="108"/>
      <c r="U111" s="108"/>
      <c r="V111" s="108"/>
      <c r="AD111" s="123"/>
      <c r="AE111" s="381"/>
      <c r="AF111" s="108"/>
      <c r="AG111" s="108"/>
      <c r="AH111" s="108"/>
      <c r="AI111" s="104"/>
      <c r="AJ111" s="103"/>
    </row>
    <row r="112" customFormat="false" ht="11.25" hidden="false" customHeight="false" outlineLevel="0" collapsed="false">
      <c r="D112" s="108"/>
      <c r="E112" s="117"/>
      <c r="F112" s="19"/>
      <c r="G112" s="18"/>
      <c r="H112" s="108"/>
      <c r="I112" s="108"/>
      <c r="J112" s="108"/>
      <c r="K112" s="18"/>
      <c r="L112" s="108"/>
      <c r="M112" s="108"/>
      <c r="N112" s="108"/>
      <c r="O112" s="18"/>
      <c r="P112" s="108"/>
      <c r="Q112" s="108"/>
      <c r="R112" s="108"/>
      <c r="S112" s="18"/>
      <c r="T112" s="108"/>
      <c r="U112" s="108"/>
      <c r="V112" s="108"/>
      <c r="AD112" s="123"/>
      <c r="AE112" s="381"/>
      <c r="AF112" s="108"/>
      <c r="AG112" s="108"/>
      <c r="AH112" s="108"/>
      <c r="AI112" s="104"/>
      <c r="AJ112" s="103"/>
    </row>
    <row r="113" customFormat="false" ht="11.25" hidden="false" customHeight="false" outlineLevel="0" collapsed="false">
      <c r="D113" s="108"/>
      <c r="E113" s="117"/>
      <c r="F113" s="19"/>
      <c r="G113" s="18"/>
      <c r="H113" s="108"/>
      <c r="I113" s="108"/>
      <c r="J113" s="108"/>
      <c r="K113" s="18"/>
      <c r="L113" s="108"/>
      <c r="M113" s="108"/>
      <c r="N113" s="108"/>
      <c r="O113" s="18"/>
      <c r="P113" s="108"/>
      <c r="Q113" s="108"/>
      <c r="R113" s="108"/>
      <c r="S113" s="18"/>
      <c r="T113" s="108"/>
      <c r="U113" s="108"/>
      <c r="V113" s="108"/>
      <c r="AD113" s="123"/>
      <c r="AE113" s="381"/>
      <c r="AF113" s="108"/>
      <c r="AG113" s="108"/>
      <c r="AH113" s="108"/>
      <c r="AI113" s="104"/>
      <c r="AJ113" s="103"/>
    </row>
    <row r="114" customFormat="false" ht="11.25" hidden="false" customHeight="false" outlineLevel="0" collapsed="false">
      <c r="D114" s="108"/>
      <c r="E114" s="117"/>
      <c r="F114" s="19"/>
      <c r="G114" s="18"/>
      <c r="H114" s="108"/>
      <c r="I114" s="108"/>
      <c r="J114" s="108"/>
      <c r="K114" s="18"/>
      <c r="L114" s="108"/>
      <c r="M114" s="108"/>
      <c r="N114" s="108"/>
      <c r="O114" s="18"/>
      <c r="P114" s="108"/>
      <c r="Q114" s="108"/>
      <c r="R114" s="108"/>
      <c r="S114" s="18"/>
      <c r="T114" s="108"/>
      <c r="U114" s="108"/>
      <c r="V114" s="108"/>
      <c r="AD114" s="123"/>
      <c r="AE114" s="381"/>
      <c r="AF114" s="108"/>
      <c r="AG114" s="108"/>
      <c r="AH114" s="108"/>
      <c r="AI114" s="104"/>
      <c r="AJ114" s="103"/>
    </row>
    <row r="115" customFormat="false" ht="11.25" hidden="false" customHeight="false" outlineLevel="0" collapsed="false">
      <c r="D115" s="108"/>
      <c r="E115" s="117"/>
      <c r="F115" s="19"/>
      <c r="G115" s="18"/>
      <c r="H115" s="108"/>
      <c r="I115" s="108"/>
      <c r="J115" s="108"/>
      <c r="K115" s="18"/>
      <c r="L115" s="108"/>
      <c r="M115" s="108"/>
      <c r="N115" s="108"/>
      <c r="O115" s="18"/>
      <c r="P115" s="108"/>
      <c r="Q115" s="108"/>
      <c r="R115" s="108"/>
      <c r="S115" s="18"/>
      <c r="T115" s="108"/>
      <c r="U115" s="108"/>
      <c r="V115" s="108"/>
      <c r="AD115" s="123"/>
      <c r="AE115" s="381"/>
      <c r="AF115" s="108"/>
      <c r="AG115" s="108"/>
      <c r="AH115" s="108"/>
      <c r="AI115" s="104"/>
      <c r="AJ115" s="103"/>
    </row>
    <row r="116" customFormat="false" ht="11.25" hidden="false" customHeight="false" outlineLevel="0" collapsed="false">
      <c r="A116" s="9"/>
      <c r="D116" s="108"/>
      <c r="E116" s="117"/>
      <c r="F116" s="19"/>
      <c r="G116" s="18"/>
      <c r="H116" s="108"/>
      <c r="I116" s="108"/>
      <c r="J116" s="108"/>
      <c r="K116" s="18"/>
      <c r="L116" s="108"/>
      <c r="M116" s="108"/>
      <c r="N116" s="108"/>
      <c r="O116" s="18"/>
      <c r="P116" s="108"/>
      <c r="Q116" s="108"/>
      <c r="R116" s="108"/>
      <c r="S116" s="18"/>
      <c r="T116" s="108"/>
      <c r="U116" s="108"/>
      <c r="V116" s="108"/>
      <c r="AD116" s="123"/>
      <c r="AE116" s="381"/>
      <c r="AF116" s="108"/>
      <c r="AG116" s="108"/>
      <c r="AH116" s="108"/>
      <c r="AI116" s="104"/>
      <c r="AJ116" s="103"/>
    </row>
    <row r="117" customFormat="false" ht="11.25" hidden="false" customHeight="false" outlineLevel="0" collapsed="false">
      <c r="D117" s="108"/>
      <c r="E117" s="117"/>
      <c r="F117" s="19"/>
      <c r="G117" s="18"/>
      <c r="H117" s="108"/>
      <c r="I117" s="108"/>
      <c r="J117" s="108"/>
      <c r="K117" s="18"/>
      <c r="L117" s="108"/>
      <c r="M117" s="108"/>
      <c r="N117" s="108"/>
      <c r="O117" s="18"/>
      <c r="P117" s="108"/>
      <c r="Q117" s="108"/>
      <c r="R117" s="108"/>
      <c r="S117" s="18"/>
      <c r="T117" s="108"/>
      <c r="U117" s="108"/>
      <c r="V117" s="108"/>
      <c r="AD117" s="123"/>
      <c r="AE117" s="381"/>
      <c r="AF117" s="108"/>
      <c r="AG117" s="108"/>
      <c r="AH117" s="108"/>
      <c r="AI117" s="104"/>
      <c r="AJ117" s="103"/>
    </row>
    <row r="118" customFormat="false" ht="11.25" hidden="false" customHeight="false" outlineLevel="0" collapsed="false">
      <c r="D118" s="108"/>
      <c r="E118" s="117"/>
      <c r="F118" s="19"/>
      <c r="G118" s="18"/>
      <c r="H118" s="108"/>
      <c r="I118" s="108"/>
      <c r="J118" s="108"/>
      <c r="K118" s="18"/>
      <c r="L118" s="108"/>
      <c r="M118" s="108"/>
      <c r="N118" s="108"/>
      <c r="O118" s="18"/>
      <c r="P118" s="108"/>
      <c r="Q118" s="108"/>
      <c r="R118" s="108"/>
      <c r="S118" s="18"/>
      <c r="T118" s="108"/>
      <c r="U118" s="108"/>
      <c r="V118" s="108"/>
      <c r="AD118" s="123"/>
      <c r="AE118" s="381"/>
      <c r="AF118" s="108"/>
      <c r="AG118" s="108"/>
      <c r="AH118" s="108"/>
      <c r="AI118" s="104"/>
      <c r="AJ118" s="103"/>
    </row>
    <row r="119" customFormat="false" ht="11.25" hidden="false" customHeight="false" outlineLevel="0" collapsed="false">
      <c r="D119" s="108"/>
      <c r="E119" s="117"/>
      <c r="F119" s="19"/>
      <c r="G119" s="18"/>
      <c r="H119" s="108"/>
      <c r="I119" s="108"/>
      <c r="J119" s="108"/>
      <c r="K119" s="18"/>
      <c r="L119" s="108"/>
      <c r="M119" s="108"/>
      <c r="N119" s="108"/>
      <c r="O119" s="18"/>
      <c r="P119" s="108"/>
      <c r="Q119" s="108"/>
      <c r="R119" s="108"/>
      <c r="S119" s="18"/>
      <c r="T119" s="108"/>
      <c r="U119" s="108"/>
      <c r="V119" s="108"/>
      <c r="AD119" s="123"/>
      <c r="AE119" s="381"/>
      <c r="AF119" s="108"/>
      <c r="AG119" s="108"/>
      <c r="AH119" s="108"/>
      <c r="AI119" s="104"/>
      <c r="AJ119" s="103"/>
    </row>
    <row r="120" customFormat="false" ht="11.25" hidden="false" customHeight="false" outlineLevel="0" collapsed="false">
      <c r="D120" s="108"/>
      <c r="E120" s="117"/>
      <c r="F120" s="19"/>
      <c r="G120" s="18"/>
      <c r="H120" s="108"/>
      <c r="I120" s="108"/>
      <c r="J120" s="108"/>
      <c r="K120" s="18"/>
      <c r="L120" s="108"/>
      <c r="M120" s="108"/>
      <c r="N120" s="108"/>
      <c r="O120" s="18"/>
      <c r="P120" s="108"/>
      <c r="Q120" s="108"/>
      <c r="R120" s="108"/>
      <c r="S120" s="18"/>
      <c r="T120" s="108"/>
      <c r="U120" s="108"/>
      <c r="V120" s="108"/>
      <c r="AD120" s="123"/>
      <c r="AE120" s="381"/>
      <c r="AF120" s="108"/>
      <c r="AG120" s="108"/>
      <c r="AH120" s="108"/>
      <c r="AI120" s="104"/>
      <c r="AJ120" s="103"/>
    </row>
    <row r="121" customFormat="false" ht="11.25" hidden="false" customHeight="false" outlineLevel="0" collapsed="false">
      <c r="D121" s="108"/>
      <c r="E121" s="117"/>
      <c r="F121" s="19"/>
      <c r="G121" s="18"/>
      <c r="H121" s="108"/>
      <c r="I121" s="108"/>
      <c r="J121" s="108"/>
      <c r="K121" s="18"/>
      <c r="L121" s="108"/>
      <c r="M121" s="108"/>
      <c r="N121" s="108"/>
      <c r="O121" s="18"/>
      <c r="P121" s="108"/>
      <c r="Q121" s="108"/>
      <c r="R121" s="108"/>
      <c r="S121" s="18"/>
      <c r="T121" s="108"/>
      <c r="U121" s="108"/>
      <c r="V121" s="108"/>
      <c r="AD121" s="123"/>
      <c r="AE121" s="381"/>
      <c r="AF121" s="108"/>
      <c r="AG121" s="108"/>
      <c r="AH121" s="108"/>
      <c r="AI121" s="104"/>
      <c r="AJ121" s="103"/>
    </row>
    <row r="122" customFormat="false" ht="11.25" hidden="false" customHeight="false" outlineLevel="0" collapsed="false">
      <c r="D122" s="108"/>
      <c r="E122" s="117"/>
      <c r="F122" s="19"/>
      <c r="G122" s="18"/>
      <c r="H122" s="108"/>
      <c r="I122" s="108"/>
      <c r="J122" s="108"/>
      <c r="K122" s="18"/>
      <c r="L122" s="108"/>
      <c r="M122" s="108"/>
      <c r="N122" s="108"/>
      <c r="O122" s="18"/>
      <c r="P122" s="108"/>
      <c r="Q122" s="108"/>
      <c r="R122" s="108"/>
      <c r="S122" s="18"/>
      <c r="T122" s="108"/>
      <c r="U122" s="108"/>
      <c r="V122" s="108"/>
      <c r="AD122" s="123"/>
      <c r="AE122" s="381"/>
      <c r="AF122" s="108"/>
      <c r="AG122" s="108"/>
      <c r="AH122" s="108"/>
      <c r="AI122" s="104"/>
      <c r="AJ122" s="103"/>
    </row>
    <row r="123" customFormat="false" ht="11.25" hidden="false" customHeight="false" outlineLevel="0" collapsed="false">
      <c r="D123" s="108"/>
      <c r="E123" s="117"/>
      <c r="F123" s="19"/>
      <c r="G123" s="18"/>
      <c r="H123" s="108"/>
      <c r="I123" s="108"/>
      <c r="J123" s="108"/>
      <c r="S123" s="30"/>
      <c r="T123" s="30"/>
      <c r="U123" s="30"/>
      <c r="AD123" s="123"/>
      <c r="AE123" s="381"/>
      <c r="AF123" s="108"/>
      <c r="AG123" s="108"/>
      <c r="AH123" s="108"/>
      <c r="AI123" s="104"/>
      <c r="AJ123" s="103"/>
    </row>
    <row r="124" customFormat="false" ht="11.25" hidden="false" customHeight="false" outlineLevel="0" collapsed="false">
      <c r="D124" s="108"/>
      <c r="E124" s="117"/>
      <c r="F124" s="19"/>
      <c r="G124" s="18"/>
      <c r="H124" s="108"/>
      <c r="I124" s="108"/>
      <c r="J124" s="108"/>
      <c r="R124" s="30"/>
      <c r="S124" s="30"/>
      <c r="T124" s="30"/>
      <c r="U124" s="30"/>
      <c r="AD124" s="123"/>
      <c r="AE124" s="381"/>
      <c r="AF124" s="108"/>
      <c r="AG124" s="108"/>
      <c r="AH124" s="108"/>
      <c r="AI124" s="104"/>
      <c r="AJ124" s="103"/>
    </row>
    <row r="125" customFormat="false" ht="21.95" hidden="false" customHeight="true" outlineLevel="0" collapsed="false">
      <c r="D125" s="108"/>
      <c r="E125" s="117"/>
      <c r="F125" s="19"/>
      <c r="G125" s="19"/>
      <c r="R125" s="30"/>
      <c r="S125" s="30"/>
      <c r="T125" s="30"/>
      <c r="U125" s="30"/>
      <c r="X125" s="156"/>
      <c r="AD125" s="123"/>
      <c r="AE125" s="381"/>
      <c r="AF125" s="108"/>
      <c r="AG125" s="108"/>
      <c r="AH125" s="108"/>
      <c r="AI125" s="104"/>
      <c r="AJ125" s="103"/>
    </row>
    <row r="126" customFormat="false" ht="21.95" hidden="false" customHeight="true" outlineLevel="0" collapsed="false">
      <c r="D126" s="108"/>
      <c r="E126" s="117"/>
      <c r="F126" s="19"/>
      <c r="G126" s="19"/>
      <c r="R126" s="30"/>
      <c r="S126" s="123"/>
      <c r="T126" s="349"/>
      <c r="U126" s="108"/>
      <c r="V126" s="108"/>
      <c r="X126" s="156"/>
      <c r="AD126" s="123"/>
      <c r="AE126" s="381"/>
      <c r="AF126" s="108"/>
      <c r="AG126" s="108"/>
      <c r="AH126" s="108"/>
      <c r="AI126" s="104"/>
      <c r="AJ126" s="103"/>
    </row>
    <row r="127" customFormat="false" ht="21.95" hidden="false" customHeight="true" outlineLevel="0" collapsed="false">
      <c r="D127" s="108"/>
      <c r="E127" s="117"/>
      <c r="F127" s="19"/>
      <c r="G127" s="19"/>
      <c r="R127" s="30"/>
      <c r="S127" s="18"/>
      <c r="T127" s="108"/>
      <c r="U127" s="108"/>
      <c r="V127" s="108"/>
      <c r="X127" s="156"/>
      <c r="AD127" s="123"/>
      <c r="AE127" s="381"/>
      <c r="AF127" s="108"/>
      <c r="AG127" s="108"/>
      <c r="AH127" s="108"/>
      <c r="AI127" s="104"/>
      <c r="AJ127" s="103"/>
    </row>
    <row r="128" customFormat="false" ht="21.95" hidden="false" customHeight="true" outlineLevel="0" collapsed="false">
      <c r="D128" s="108"/>
      <c r="E128" s="117"/>
      <c r="F128" s="19"/>
      <c r="G128" s="19"/>
      <c r="S128" s="18"/>
      <c r="T128" s="108"/>
      <c r="U128" s="108"/>
      <c r="V128" s="108"/>
      <c r="X128" s="156"/>
      <c r="AD128" s="123"/>
      <c r="AE128" s="381"/>
      <c r="AF128" s="108"/>
      <c r="AG128" s="108"/>
      <c r="AH128" s="108"/>
      <c r="AI128" s="104"/>
      <c r="AJ128" s="103"/>
    </row>
    <row r="129" customFormat="false" ht="21.95" hidden="false" customHeight="true" outlineLevel="0" collapsed="false">
      <c r="D129" s="108"/>
      <c r="E129" s="117"/>
      <c r="F129" s="19"/>
      <c r="G129" s="19"/>
      <c r="R129" s="30"/>
      <c r="S129" s="18"/>
      <c r="T129" s="108"/>
      <c r="U129" s="108"/>
      <c r="V129" s="108"/>
      <c r="X129" s="156"/>
      <c r="AD129" s="123"/>
      <c r="AE129" s="381"/>
      <c r="AF129" s="108"/>
      <c r="AG129" s="108"/>
      <c r="AH129" s="108"/>
      <c r="AI129" s="104"/>
      <c r="AJ129" s="103"/>
    </row>
    <row r="130" customFormat="false" ht="21.95" hidden="false" customHeight="true" outlineLevel="0" collapsed="false">
      <c r="D130" s="108"/>
      <c r="E130" s="117"/>
      <c r="F130" s="19"/>
      <c r="G130" s="19"/>
      <c r="R130" s="30"/>
      <c r="S130" s="18"/>
      <c r="T130" s="108"/>
      <c r="U130" s="108"/>
      <c r="V130" s="108"/>
      <c r="X130" s="156"/>
      <c r="AD130" s="123"/>
      <c r="AE130" s="381"/>
      <c r="AF130" s="108"/>
      <c r="AG130" s="108"/>
      <c r="AH130" s="108"/>
      <c r="AI130" s="104"/>
      <c r="AJ130" s="103"/>
    </row>
    <row r="131" customFormat="false" ht="21.95" hidden="false" customHeight="true" outlineLevel="0" collapsed="false">
      <c r="D131" s="108"/>
      <c r="E131" s="117"/>
      <c r="F131" s="19"/>
      <c r="G131" s="19"/>
      <c r="R131" s="30"/>
      <c r="S131" s="18"/>
      <c r="T131" s="108"/>
      <c r="U131" s="108"/>
      <c r="V131" s="108"/>
      <c r="X131" s="399"/>
      <c r="AD131" s="123"/>
      <c r="AE131" s="381"/>
      <c r="AF131" s="108"/>
      <c r="AG131" s="108"/>
      <c r="AH131" s="108"/>
      <c r="AI131" s="104"/>
      <c r="AJ131" s="103"/>
    </row>
    <row r="132" customFormat="false" ht="21.95" hidden="false" customHeight="true" outlineLevel="0" collapsed="false">
      <c r="D132" s="108"/>
      <c r="E132" s="117"/>
      <c r="F132" s="19"/>
      <c r="G132" s="19"/>
      <c r="R132" s="30"/>
      <c r="S132" s="18"/>
      <c r="T132" s="108"/>
      <c r="U132" s="108"/>
      <c r="V132" s="108"/>
      <c r="X132" s="399"/>
      <c r="AD132" s="123"/>
      <c r="AE132" s="381"/>
      <c r="AF132" s="108"/>
      <c r="AG132" s="108"/>
      <c r="AH132" s="108"/>
      <c r="AI132" s="104"/>
      <c r="AJ132" s="103"/>
    </row>
    <row r="133" customFormat="false" ht="21.95" hidden="false" customHeight="true" outlineLevel="0" collapsed="false">
      <c r="A133" s="9"/>
      <c r="B133" s="9"/>
      <c r="D133" s="108"/>
      <c r="E133" s="117"/>
      <c r="F133" s="19"/>
      <c r="G133" s="19"/>
      <c r="R133" s="30"/>
      <c r="S133" s="18"/>
      <c r="T133" s="108"/>
      <c r="U133" s="108"/>
      <c r="V133" s="108"/>
      <c r="X133" s="156"/>
      <c r="AD133" s="123"/>
      <c r="AE133" s="381"/>
      <c r="AF133" s="108"/>
      <c r="AG133" s="108"/>
      <c r="AH133" s="108"/>
      <c r="AI133" s="104"/>
      <c r="AJ133" s="103"/>
    </row>
    <row r="134" customFormat="false" ht="21.95" hidden="false" customHeight="true" outlineLevel="0" collapsed="false">
      <c r="C134" s="392"/>
      <c r="D134" s="154"/>
      <c r="E134" s="117"/>
      <c r="F134" s="19"/>
      <c r="G134" s="19"/>
      <c r="R134" s="30"/>
      <c r="S134" s="18"/>
      <c r="T134" s="108"/>
      <c r="U134" s="108"/>
      <c r="V134" s="108"/>
      <c r="X134" s="399"/>
      <c r="AD134" s="123"/>
      <c r="AE134" s="381"/>
      <c r="AF134" s="108"/>
      <c r="AG134" s="108"/>
      <c r="AH134" s="108"/>
      <c r="AI134" s="104"/>
      <c r="AJ134" s="103"/>
    </row>
    <row r="135" customFormat="false" ht="21.95" hidden="false" customHeight="true" outlineLevel="0" collapsed="false">
      <c r="C135" s="401"/>
      <c r="D135" s="108"/>
      <c r="E135" s="117"/>
      <c r="F135" s="19"/>
      <c r="G135" s="19"/>
      <c r="R135" s="30"/>
      <c r="S135" s="18"/>
      <c r="T135" s="108"/>
      <c r="U135" s="108"/>
      <c r="V135" s="108"/>
      <c r="X135" s="399"/>
      <c r="AD135" s="123"/>
      <c r="AE135" s="381"/>
      <c r="AF135" s="108"/>
      <c r="AG135" s="108"/>
      <c r="AH135" s="108"/>
      <c r="AI135" s="104"/>
      <c r="AJ135" s="103"/>
    </row>
    <row r="136" customFormat="false" ht="21.95" hidden="false" customHeight="true" outlineLevel="0" collapsed="false">
      <c r="D136" s="108"/>
      <c r="E136" s="117"/>
      <c r="F136" s="19"/>
      <c r="G136" s="19"/>
      <c r="R136" s="30"/>
      <c r="S136" s="18"/>
      <c r="T136" s="108"/>
      <c r="U136" s="108"/>
      <c r="V136" s="108"/>
      <c r="X136" s="156"/>
      <c r="AD136" s="123"/>
      <c r="AE136" s="381"/>
      <c r="AF136" s="108"/>
      <c r="AG136" s="108"/>
      <c r="AH136" s="108"/>
      <c r="AI136" s="104"/>
      <c r="AJ136" s="103"/>
    </row>
    <row r="137" customFormat="false" ht="15.75" hidden="false" customHeight="false" outlineLevel="0" collapsed="false">
      <c r="D137" s="108"/>
      <c r="E137" s="117"/>
      <c r="F137" s="19"/>
      <c r="G137" s="19"/>
      <c r="R137" s="30"/>
      <c r="S137" s="18"/>
      <c r="T137" s="108"/>
      <c r="U137" s="108"/>
      <c r="V137" s="108"/>
      <c r="X137" s="399"/>
      <c r="AD137" s="123"/>
      <c r="AE137" s="381"/>
      <c r="AF137" s="108"/>
      <c r="AG137" s="108"/>
      <c r="AH137" s="108"/>
      <c r="AI137" s="104"/>
      <c r="AJ137" s="103"/>
    </row>
    <row r="138" customFormat="false" ht="15.75" hidden="false" customHeight="false" outlineLevel="0" collapsed="false">
      <c r="D138" s="108"/>
      <c r="E138" s="117"/>
      <c r="F138" s="19"/>
      <c r="G138" s="19"/>
      <c r="R138" s="30"/>
      <c r="S138" s="18"/>
      <c r="T138" s="108"/>
      <c r="U138" s="108"/>
      <c r="V138" s="108"/>
      <c r="X138" s="156"/>
      <c r="AD138" s="123"/>
      <c r="AE138" s="381"/>
      <c r="AF138" s="108"/>
      <c r="AG138" s="108"/>
      <c r="AH138" s="108"/>
      <c r="AI138" s="104"/>
      <c r="AJ138" s="103"/>
    </row>
    <row r="139" customFormat="false" ht="15.75" hidden="false" customHeight="false" outlineLevel="0" collapsed="false">
      <c r="D139" s="108"/>
      <c r="E139" s="117"/>
      <c r="F139" s="19"/>
      <c r="G139" s="19"/>
      <c r="R139" s="30"/>
      <c r="S139" s="18"/>
      <c r="T139" s="108"/>
      <c r="U139" s="108"/>
      <c r="V139" s="108"/>
      <c r="X139" s="156"/>
      <c r="AD139" s="123"/>
      <c r="AE139" s="381"/>
      <c r="AF139" s="108"/>
      <c r="AG139" s="108"/>
      <c r="AH139" s="108"/>
      <c r="AI139" s="104"/>
      <c r="AJ139" s="103"/>
    </row>
    <row r="140" customFormat="false" ht="15.75" hidden="false" customHeight="false" outlineLevel="0" collapsed="false">
      <c r="D140" s="108"/>
      <c r="E140" s="117"/>
      <c r="F140" s="19"/>
      <c r="G140" s="19"/>
      <c r="R140" s="30"/>
      <c r="S140" s="18"/>
      <c r="T140" s="108"/>
      <c r="U140" s="108"/>
      <c r="V140" s="108"/>
      <c r="X140" s="399"/>
      <c r="AD140" s="123"/>
      <c r="AE140" s="381"/>
      <c r="AF140" s="108"/>
      <c r="AG140" s="108"/>
      <c r="AH140" s="108"/>
      <c r="AI140" s="104"/>
      <c r="AJ140" s="103"/>
    </row>
    <row r="141" customFormat="false" ht="15.75" hidden="false" customHeight="false" outlineLevel="0" collapsed="false">
      <c r="D141" s="108"/>
      <c r="E141" s="117"/>
      <c r="F141" s="19"/>
      <c r="G141" s="19"/>
      <c r="R141" s="30"/>
      <c r="S141" s="18"/>
      <c r="T141" s="108"/>
      <c r="U141" s="108"/>
      <c r="V141" s="108"/>
      <c r="X141" s="399"/>
      <c r="AD141" s="123"/>
      <c r="AE141" s="381"/>
      <c r="AF141" s="108"/>
      <c r="AG141" s="108"/>
      <c r="AH141" s="108"/>
      <c r="AI141" s="104"/>
      <c r="AJ141" s="103"/>
    </row>
    <row r="142" customFormat="false" ht="15.75" hidden="false" customHeight="false" outlineLevel="0" collapsed="false">
      <c r="D142" s="108"/>
      <c r="E142" s="117"/>
      <c r="F142" s="19"/>
      <c r="G142" s="19"/>
      <c r="R142" s="30"/>
      <c r="S142" s="18"/>
      <c r="T142" s="108"/>
      <c r="U142" s="108"/>
      <c r="V142" s="108"/>
      <c r="X142" s="156"/>
      <c r="AD142" s="123"/>
      <c r="AE142" s="381"/>
      <c r="AF142" s="108"/>
      <c r="AG142" s="108"/>
      <c r="AH142" s="108"/>
      <c r="AI142" s="104"/>
      <c r="AJ142" s="103"/>
    </row>
    <row r="143" customFormat="false" ht="11.25" hidden="false" customHeight="false" outlineLevel="0" collapsed="false">
      <c r="D143" s="108"/>
      <c r="E143" s="117"/>
      <c r="R143" s="30"/>
      <c r="S143" s="18"/>
      <c r="T143" s="108"/>
      <c r="U143" s="108"/>
      <c r="V143" s="108"/>
      <c r="AD143" s="123"/>
      <c r="AE143" s="381"/>
      <c r="AF143" s="108"/>
      <c r="AG143" s="108"/>
      <c r="AH143" s="108"/>
      <c r="AI143" s="104"/>
      <c r="AJ143" s="103"/>
    </row>
    <row r="144" customFormat="false" ht="11.25" hidden="false" customHeight="false" outlineLevel="0" collapsed="false">
      <c r="D144" s="108"/>
      <c r="E144" s="117"/>
      <c r="R144" s="30"/>
      <c r="S144" s="18"/>
      <c r="T144" s="108"/>
      <c r="U144" s="108"/>
      <c r="V144" s="108"/>
      <c r="AD144" s="123"/>
      <c r="AE144" s="381"/>
      <c r="AF144" s="108"/>
      <c r="AG144" s="108"/>
      <c r="AH144" s="108"/>
      <c r="AI144" s="104"/>
      <c r="AJ144" s="103"/>
    </row>
    <row r="145" customFormat="false" ht="11.25" hidden="false" customHeight="false" outlineLevel="0" collapsed="false">
      <c r="D145" s="108"/>
      <c r="E145" s="117"/>
      <c r="R145" s="30"/>
      <c r="S145" s="18"/>
      <c r="T145" s="108"/>
      <c r="U145" s="108"/>
      <c r="V145" s="108"/>
      <c r="AD145" s="123"/>
      <c r="AE145" s="381"/>
      <c r="AF145" s="108"/>
      <c r="AG145" s="108"/>
      <c r="AH145" s="108"/>
      <c r="AI145" s="104"/>
      <c r="AJ145" s="103"/>
    </row>
    <row r="146" customFormat="false" ht="11.25" hidden="false" customHeight="false" outlineLevel="0" collapsed="false">
      <c r="D146" s="108"/>
      <c r="E146" s="117"/>
      <c r="R146" s="30"/>
      <c r="S146" s="18"/>
      <c r="T146" s="108"/>
      <c r="U146" s="108"/>
      <c r="V146" s="108"/>
      <c r="AD146" s="123"/>
      <c r="AE146" s="381"/>
      <c r="AF146" s="108"/>
      <c r="AG146" s="108"/>
      <c r="AH146" s="108"/>
      <c r="AI146" s="104"/>
      <c r="AJ146" s="103"/>
    </row>
    <row r="147" customFormat="false" ht="11.25" hidden="false" customHeight="false" outlineLevel="0" collapsed="false">
      <c r="D147" s="108"/>
      <c r="E147" s="117"/>
      <c r="R147" s="30"/>
      <c r="S147" s="18"/>
      <c r="T147" s="108"/>
      <c r="U147" s="108"/>
      <c r="V147" s="108"/>
      <c r="AD147" s="123"/>
      <c r="AE147" s="381"/>
      <c r="AF147" s="108"/>
      <c r="AG147" s="108"/>
      <c r="AH147" s="108"/>
      <c r="AI147" s="104"/>
      <c r="AJ147" s="103"/>
    </row>
    <row r="148" customFormat="false" ht="11.25" hidden="false" customHeight="false" outlineLevel="0" collapsed="false">
      <c r="D148" s="108"/>
      <c r="E148" s="117"/>
      <c r="R148" s="30"/>
      <c r="S148" s="18"/>
      <c r="T148" s="108"/>
      <c r="U148" s="108"/>
      <c r="V148" s="108"/>
      <c r="AD148" s="123"/>
      <c r="AE148" s="381"/>
      <c r="AF148" s="108"/>
      <c r="AG148" s="108"/>
      <c r="AH148" s="108"/>
      <c r="AI148" s="104"/>
      <c r="AJ148" s="103"/>
    </row>
    <row r="149" customFormat="false" ht="11.25" hidden="false" customHeight="false" outlineLevel="0" collapsed="false">
      <c r="D149" s="108"/>
      <c r="E149" s="117"/>
      <c r="R149" s="30"/>
      <c r="S149" s="18"/>
      <c r="T149" s="108"/>
      <c r="U149" s="108"/>
      <c r="V149" s="108"/>
      <c r="AD149" s="123"/>
      <c r="AE149" s="381"/>
      <c r="AF149" s="108"/>
      <c r="AG149" s="186"/>
      <c r="AH149" s="108"/>
      <c r="AI149" s="104"/>
      <c r="AJ149" s="103"/>
    </row>
    <row r="150" customFormat="false" ht="11.25" hidden="false" customHeight="false" outlineLevel="0" collapsed="false">
      <c r="D150" s="108"/>
      <c r="E150" s="117"/>
      <c r="R150" s="30"/>
      <c r="S150" s="18"/>
      <c r="T150" s="108"/>
      <c r="U150" s="108"/>
      <c r="V150" s="108"/>
      <c r="AD150" s="123"/>
      <c r="AE150" s="381"/>
      <c r="AF150" s="108"/>
      <c r="AG150" s="108"/>
      <c r="AH150" s="108"/>
      <c r="AI150" s="104"/>
      <c r="AJ150" s="103"/>
    </row>
    <row r="151" customFormat="false" ht="11.25" hidden="false" customHeight="false" outlineLevel="0" collapsed="false">
      <c r="D151" s="108"/>
      <c r="E151" s="117"/>
      <c r="R151" s="30"/>
      <c r="S151" s="18"/>
      <c r="T151" s="108"/>
      <c r="U151" s="108"/>
      <c r="V151" s="108"/>
      <c r="AD151" s="123"/>
      <c r="AE151" s="381"/>
      <c r="AF151" s="108"/>
      <c r="AG151" s="108"/>
      <c r="AH151" s="108"/>
      <c r="AI151" s="104"/>
      <c r="AJ151" s="103"/>
    </row>
    <row r="152" customFormat="false" ht="11.25" hidden="false" customHeight="false" outlineLevel="0" collapsed="false">
      <c r="D152" s="108"/>
      <c r="E152" s="117"/>
      <c r="R152" s="30"/>
      <c r="S152" s="18"/>
      <c r="T152" s="108"/>
      <c r="U152" s="108"/>
      <c r="V152" s="108"/>
      <c r="AD152" s="123"/>
      <c r="AE152" s="381"/>
      <c r="AF152" s="108"/>
      <c r="AG152" s="108"/>
      <c r="AH152" s="108"/>
      <c r="AI152" s="104"/>
      <c r="AJ152" s="103"/>
    </row>
    <row r="153" customFormat="false" ht="11.25" hidden="false" customHeight="false" outlineLevel="0" collapsed="false">
      <c r="D153" s="108"/>
      <c r="E153" s="117"/>
      <c r="R153" s="30"/>
      <c r="S153" s="18"/>
      <c r="T153" s="108"/>
      <c r="U153" s="108"/>
      <c r="V153" s="108"/>
      <c r="AD153" s="123"/>
      <c r="AE153" s="381"/>
      <c r="AF153" s="108"/>
      <c r="AG153" s="108"/>
      <c r="AH153" s="108"/>
      <c r="AI153" s="104"/>
      <c r="AJ153" s="103"/>
    </row>
    <row r="154" customFormat="false" ht="11.25" hidden="false" customHeight="false" outlineLevel="0" collapsed="false">
      <c r="D154" s="108"/>
      <c r="E154" s="117"/>
      <c r="R154" s="30"/>
      <c r="S154" s="18"/>
      <c r="T154" s="108"/>
      <c r="U154" s="108"/>
      <c r="V154" s="108"/>
      <c r="AD154" s="123"/>
      <c r="AE154" s="381"/>
      <c r="AF154" s="108"/>
      <c r="AG154" s="108"/>
      <c r="AH154" s="108"/>
      <c r="AI154" s="104"/>
      <c r="AJ154" s="103"/>
    </row>
    <row r="155" customFormat="false" ht="11.25" hidden="false" customHeight="false" outlineLevel="0" collapsed="false">
      <c r="D155" s="108"/>
      <c r="E155" s="117"/>
      <c r="R155" s="30"/>
      <c r="S155" s="18"/>
      <c r="T155" s="108"/>
      <c r="U155" s="108"/>
      <c r="V155" s="108"/>
      <c r="AD155" s="123"/>
      <c r="AE155" s="381"/>
      <c r="AF155" s="108"/>
      <c r="AG155" s="108"/>
      <c r="AH155" s="108"/>
      <c r="AI155" s="104"/>
      <c r="AJ155" s="103"/>
    </row>
    <row r="156" customFormat="false" ht="11.25" hidden="false" customHeight="false" outlineLevel="0" collapsed="false">
      <c r="D156" s="108"/>
      <c r="E156" s="117"/>
      <c r="R156" s="30"/>
      <c r="S156" s="18"/>
      <c r="T156" s="108"/>
      <c r="U156" s="108"/>
      <c r="V156" s="108"/>
      <c r="AD156" s="123"/>
      <c r="AE156" s="381"/>
      <c r="AF156" s="108"/>
      <c r="AG156" s="108"/>
      <c r="AH156" s="108"/>
      <c r="AI156" s="104"/>
      <c r="AJ156" s="103"/>
    </row>
    <row r="157" customFormat="false" ht="11.25" hidden="false" customHeight="false" outlineLevel="0" collapsed="false">
      <c r="D157" s="108"/>
      <c r="E157" s="117"/>
      <c r="R157" s="30"/>
      <c r="S157" s="18"/>
      <c r="T157" s="108"/>
      <c r="U157" s="108"/>
      <c r="V157" s="108"/>
      <c r="AD157" s="123"/>
      <c r="AE157" s="381"/>
      <c r="AF157" s="108"/>
      <c r="AG157" s="108"/>
      <c r="AH157" s="108"/>
      <c r="AI157" s="104"/>
      <c r="AJ157" s="103"/>
    </row>
    <row r="158" customFormat="false" ht="11.25" hidden="false" customHeight="false" outlineLevel="0" collapsed="false">
      <c r="D158" s="108"/>
      <c r="E158" s="117"/>
      <c r="R158" s="30"/>
      <c r="S158" s="18"/>
      <c r="T158" s="108"/>
      <c r="U158" s="108"/>
      <c r="V158" s="108"/>
      <c r="AD158" s="123"/>
      <c r="AE158" s="381"/>
      <c r="AF158" s="108"/>
      <c r="AG158" s="108"/>
      <c r="AH158" s="108"/>
      <c r="AI158" s="104"/>
      <c r="AJ158" s="103"/>
    </row>
    <row r="159" customFormat="false" ht="12" hidden="false" customHeight="false" outlineLevel="0" collapsed="false">
      <c r="D159" s="108"/>
      <c r="E159" s="117"/>
      <c r="R159" s="30"/>
      <c r="S159" s="18"/>
      <c r="T159" s="108"/>
      <c r="U159" s="108"/>
      <c r="V159" s="108"/>
      <c r="X159" s="136"/>
      <c r="AD159" s="123"/>
      <c r="AE159" s="381"/>
      <c r="AF159" s="108"/>
      <c r="AG159" s="108"/>
      <c r="AH159" s="108"/>
      <c r="AI159" s="104"/>
      <c r="AJ159" s="103"/>
    </row>
    <row r="160" customFormat="false" ht="12" hidden="false" customHeight="false" outlineLevel="0" collapsed="false">
      <c r="D160" s="108"/>
      <c r="E160" s="117"/>
      <c r="R160" s="30"/>
      <c r="S160" s="108"/>
      <c r="T160" s="30"/>
      <c r="U160" s="30"/>
      <c r="V160" s="103"/>
      <c r="X160" s="136"/>
      <c r="AD160" s="123"/>
      <c r="AE160" s="381"/>
      <c r="AF160" s="108"/>
      <c r="AG160" s="108"/>
      <c r="AH160" s="108"/>
      <c r="AI160" s="104"/>
      <c r="AJ160" s="103"/>
    </row>
    <row r="161" customFormat="false" ht="12" hidden="false" customHeight="false" outlineLevel="0" collapsed="false">
      <c r="D161" s="108"/>
      <c r="E161" s="117"/>
      <c r="R161" s="30"/>
      <c r="S161" s="108"/>
      <c r="T161" s="30"/>
      <c r="U161" s="30"/>
      <c r="V161" s="103"/>
      <c r="X161" s="136"/>
      <c r="AD161" s="123"/>
      <c r="AE161" s="381"/>
      <c r="AF161" s="108"/>
      <c r="AG161" s="108"/>
      <c r="AH161" s="108"/>
      <c r="AI161" s="104"/>
      <c r="AJ161" s="103"/>
    </row>
    <row r="162" customFormat="false" ht="12" hidden="false" customHeight="false" outlineLevel="0" collapsed="false">
      <c r="D162" s="108"/>
      <c r="E162" s="117"/>
      <c r="R162" s="30"/>
      <c r="S162" s="108"/>
      <c r="T162" s="30"/>
      <c r="U162" s="30"/>
      <c r="V162" s="103"/>
      <c r="X162" s="136"/>
      <c r="AD162" s="123"/>
      <c r="AE162" s="381"/>
      <c r="AF162" s="108"/>
      <c r="AG162" s="108"/>
      <c r="AH162" s="108"/>
      <c r="AI162" s="104"/>
      <c r="AJ162" s="103"/>
    </row>
    <row r="163" customFormat="false" ht="12" hidden="false" customHeight="false" outlineLevel="0" collapsed="false">
      <c r="D163" s="108"/>
      <c r="E163" s="117"/>
      <c r="R163" s="30"/>
      <c r="S163" s="108"/>
      <c r="T163" s="30"/>
      <c r="U163" s="30"/>
      <c r="V163" s="103"/>
      <c r="X163" s="136"/>
      <c r="AD163" s="123"/>
      <c r="AE163" s="381"/>
      <c r="AF163" s="108"/>
      <c r="AG163" s="108"/>
      <c r="AH163" s="108"/>
      <c r="AI163" s="104"/>
      <c r="AJ163" s="103"/>
    </row>
    <row r="164" customFormat="false" ht="12" hidden="false" customHeight="false" outlineLevel="0" collapsed="false">
      <c r="D164" s="108"/>
      <c r="E164" s="117"/>
      <c r="R164" s="30"/>
      <c r="S164" s="30"/>
      <c r="T164" s="30"/>
      <c r="U164" s="30"/>
      <c r="V164" s="103"/>
      <c r="X164" s="136"/>
      <c r="AD164" s="123"/>
      <c r="AE164" s="381"/>
      <c r="AF164" s="108"/>
      <c r="AG164" s="108"/>
      <c r="AH164" s="108"/>
      <c r="AI164" s="104"/>
      <c r="AJ164" s="103"/>
    </row>
    <row r="165" customFormat="false" ht="11.25" hidden="false" customHeight="false" outlineLevel="0" collapsed="false">
      <c r="D165" s="108"/>
      <c r="E165" s="117"/>
      <c r="R165" s="30"/>
      <c r="S165" s="30"/>
      <c r="T165" s="30"/>
      <c r="U165" s="30"/>
      <c r="V165" s="103"/>
      <c r="AD165" s="123"/>
      <c r="AE165" s="381"/>
      <c r="AF165" s="108"/>
      <c r="AG165" s="108"/>
      <c r="AH165" s="108"/>
      <c r="AI165" s="104"/>
      <c r="AJ165" s="103"/>
    </row>
    <row r="166" customFormat="false" ht="11.25" hidden="false" customHeight="false" outlineLevel="0" collapsed="false">
      <c r="D166" s="108"/>
      <c r="E166" s="117"/>
      <c r="R166" s="30"/>
      <c r="S166" s="30"/>
      <c r="T166" s="30"/>
      <c r="U166" s="30"/>
      <c r="AD166" s="123"/>
      <c r="AE166" s="381"/>
      <c r="AF166" s="108"/>
      <c r="AG166" s="108"/>
      <c r="AH166" s="108"/>
      <c r="AI166" s="104"/>
      <c r="AJ166" s="103"/>
    </row>
    <row r="167" customFormat="false" ht="11.25" hidden="false" customHeight="false" outlineLevel="0" collapsed="false">
      <c r="D167" s="108"/>
      <c r="E167" s="117"/>
      <c r="R167" s="123"/>
      <c r="S167" s="349"/>
      <c r="T167" s="108"/>
      <c r="U167" s="108"/>
      <c r="AD167" s="123"/>
      <c r="AE167" s="381"/>
      <c r="AF167" s="108"/>
      <c r="AG167" s="108"/>
      <c r="AH167" s="108"/>
      <c r="AI167" s="104"/>
      <c r="AJ167" s="103"/>
    </row>
    <row r="168" customFormat="false" ht="11.25" hidden="false" customHeight="false" outlineLevel="0" collapsed="false">
      <c r="D168" s="108"/>
      <c r="E168" s="117"/>
      <c r="R168" s="18"/>
      <c r="S168" s="108"/>
      <c r="T168" s="108"/>
      <c r="U168" s="108"/>
      <c r="AD168" s="123"/>
      <c r="AE168" s="381"/>
      <c r="AF168" s="186"/>
      <c r="AG168" s="186"/>
      <c r="AH168" s="108"/>
      <c r="AI168" s="104"/>
      <c r="AJ168" s="103"/>
    </row>
    <row r="169" customFormat="false" ht="15" hidden="false" customHeight="true" outlineLevel="0" collapsed="false">
      <c r="D169" s="108"/>
      <c r="E169" s="117"/>
      <c r="R169" s="18"/>
      <c r="S169" s="108"/>
      <c r="T169" s="108"/>
      <c r="U169" s="108"/>
      <c r="X169" s="282"/>
      <c r="Y169" s="282"/>
      <c r="Z169" s="282"/>
      <c r="AA169" s="402"/>
      <c r="AB169" s="282"/>
      <c r="AC169" s="282"/>
      <c r="AD169" s="123"/>
      <c r="AE169" s="381"/>
      <c r="AF169" s="186"/>
      <c r="AG169" s="186"/>
      <c r="AH169" s="108"/>
      <c r="AI169" s="104"/>
      <c r="AJ169" s="103"/>
    </row>
    <row r="170" customFormat="false" ht="15" hidden="false" customHeight="true" outlineLevel="0" collapsed="false">
      <c r="D170" s="108"/>
      <c r="E170" s="117"/>
      <c r="R170" s="18"/>
      <c r="S170" s="108"/>
      <c r="T170" s="108"/>
      <c r="U170" s="108"/>
      <c r="X170" s="282"/>
      <c r="Y170" s="282"/>
      <c r="Z170" s="282"/>
      <c r="AA170" s="402"/>
      <c r="AB170" s="282"/>
      <c r="AC170" s="282"/>
      <c r="AD170" s="123"/>
      <c r="AE170" s="381"/>
      <c r="AF170" s="186"/>
      <c r="AG170" s="186"/>
      <c r="AH170" s="108"/>
      <c r="AI170" s="104"/>
      <c r="AJ170" s="103"/>
    </row>
    <row r="171" customFormat="false" ht="15" hidden="false" customHeight="true" outlineLevel="0" collapsed="false">
      <c r="D171" s="108"/>
      <c r="E171" s="117"/>
      <c r="R171" s="18"/>
      <c r="S171" s="108"/>
      <c r="T171" s="108"/>
      <c r="U171" s="108"/>
      <c r="X171" s="282"/>
      <c r="Y171" s="282"/>
      <c r="Z171" s="282"/>
      <c r="AA171" s="402"/>
      <c r="AB171" s="282"/>
      <c r="AC171" s="282"/>
      <c r="AD171" s="123"/>
      <c r="AE171" s="381"/>
      <c r="AF171" s="186"/>
      <c r="AG171" s="186"/>
      <c r="AH171" s="108"/>
      <c r="AI171" s="104"/>
      <c r="AJ171" s="103"/>
    </row>
    <row r="172" customFormat="false" ht="15" hidden="false" customHeight="true" outlineLevel="0" collapsed="false">
      <c r="D172" s="108"/>
      <c r="E172" s="117"/>
      <c r="R172" s="18"/>
      <c r="S172" s="108"/>
      <c r="T172" s="108"/>
      <c r="U172" s="108"/>
      <c r="X172" s="282"/>
      <c r="Y172" s="282"/>
      <c r="Z172" s="282"/>
      <c r="AA172" s="402"/>
      <c r="AB172" s="282"/>
      <c r="AC172" s="282"/>
      <c r="AD172" s="123"/>
      <c r="AE172" s="381"/>
      <c r="AF172" s="108"/>
      <c r="AG172" s="186"/>
      <c r="AH172" s="108"/>
      <c r="AI172" s="104"/>
      <c r="AJ172" s="103"/>
    </row>
    <row r="173" customFormat="false" ht="15" hidden="false" customHeight="true" outlineLevel="0" collapsed="false">
      <c r="D173" s="108"/>
      <c r="E173" s="117"/>
      <c r="R173" s="18"/>
      <c r="S173" s="108"/>
      <c r="T173" s="108"/>
      <c r="U173" s="108"/>
      <c r="X173" s="282"/>
      <c r="Y173" s="282"/>
      <c r="Z173" s="282"/>
      <c r="AA173" s="402"/>
      <c r="AB173" s="282"/>
      <c r="AC173" s="282"/>
      <c r="AD173" s="123"/>
      <c r="AE173" s="381"/>
      <c r="AF173" s="186"/>
      <c r="AG173" s="186"/>
      <c r="AH173" s="108"/>
      <c r="AI173" s="104"/>
      <c r="AJ173" s="103"/>
    </row>
    <row r="174" customFormat="false" ht="15" hidden="false" customHeight="true" outlineLevel="0" collapsed="false">
      <c r="D174" s="108"/>
      <c r="E174" s="117"/>
      <c r="R174" s="18"/>
      <c r="S174" s="108"/>
      <c r="T174" s="108"/>
      <c r="U174" s="108"/>
      <c r="X174" s="282"/>
      <c r="Y174" s="282"/>
      <c r="Z174" s="282"/>
      <c r="AA174" s="402"/>
      <c r="AB174" s="282"/>
      <c r="AC174" s="282"/>
      <c r="AD174" s="123"/>
      <c r="AE174" s="381"/>
      <c r="AF174" s="186"/>
      <c r="AG174" s="186"/>
      <c r="AH174" s="108"/>
      <c r="AI174" s="104"/>
      <c r="AJ174" s="103"/>
    </row>
    <row r="175" customFormat="false" ht="15" hidden="false" customHeight="true" outlineLevel="0" collapsed="false">
      <c r="D175" s="108"/>
      <c r="E175" s="117"/>
      <c r="R175" s="18"/>
      <c r="S175" s="108"/>
      <c r="T175" s="108"/>
      <c r="U175" s="108"/>
      <c r="X175" s="282"/>
      <c r="Y175" s="282"/>
      <c r="Z175" s="282"/>
      <c r="AA175" s="402"/>
      <c r="AB175" s="282"/>
      <c r="AC175" s="282"/>
      <c r="AD175" s="123"/>
      <c r="AE175" s="381"/>
      <c r="AF175" s="108"/>
      <c r="AG175" s="186"/>
      <c r="AH175" s="108"/>
      <c r="AI175" s="104"/>
      <c r="AJ175" s="103"/>
    </row>
    <row r="176" customFormat="false" ht="15" hidden="false" customHeight="true" outlineLevel="0" collapsed="false">
      <c r="D176" s="108"/>
      <c r="E176" s="117"/>
      <c r="R176" s="18"/>
      <c r="S176" s="108"/>
      <c r="T176" s="108"/>
      <c r="U176" s="108"/>
      <c r="X176" s="282"/>
      <c r="Y176" s="282"/>
      <c r="Z176" s="282"/>
      <c r="AA176" s="402"/>
      <c r="AB176" s="282"/>
      <c r="AC176" s="282"/>
      <c r="AD176" s="123"/>
      <c r="AE176" s="381"/>
      <c r="AF176" s="108"/>
      <c r="AG176" s="186"/>
      <c r="AH176" s="108"/>
      <c r="AI176" s="104"/>
      <c r="AJ176" s="103"/>
    </row>
    <row r="177" customFormat="false" ht="15" hidden="false" customHeight="true" outlineLevel="0" collapsed="false">
      <c r="D177" s="108"/>
      <c r="E177" s="117"/>
      <c r="R177" s="18"/>
      <c r="S177" s="108"/>
      <c r="T177" s="108"/>
      <c r="U177" s="108"/>
      <c r="X177" s="282"/>
      <c r="Y177" s="282"/>
      <c r="Z177" s="282"/>
      <c r="AA177" s="402"/>
      <c r="AB177" s="282"/>
      <c r="AC177" s="282"/>
      <c r="AD177" s="123"/>
      <c r="AE177" s="381"/>
      <c r="AF177" s="108"/>
      <c r="AG177" s="186"/>
      <c r="AH177" s="108"/>
      <c r="AI177" s="104"/>
      <c r="AJ177" s="103"/>
    </row>
    <row r="178" customFormat="false" ht="15" hidden="false" customHeight="true" outlineLevel="0" collapsed="false">
      <c r="D178" s="108"/>
      <c r="E178" s="117"/>
      <c r="R178" s="18"/>
      <c r="S178" s="108"/>
      <c r="T178" s="108"/>
      <c r="U178" s="108"/>
      <c r="X178" s="282"/>
      <c r="Y178" s="282"/>
      <c r="Z178" s="282"/>
      <c r="AA178" s="402"/>
      <c r="AB178" s="282"/>
      <c r="AC178" s="282"/>
      <c r="AD178" s="123"/>
      <c r="AE178" s="381"/>
      <c r="AF178" s="108"/>
      <c r="AG178" s="186"/>
      <c r="AH178" s="108"/>
      <c r="AI178" s="104"/>
      <c r="AJ178" s="103"/>
    </row>
    <row r="179" customFormat="false" ht="15" hidden="false" customHeight="true" outlineLevel="0" collapsed="false">
      <c r="B179" s="9"/>
      <c r="D179" s="108"/>
      <c r="E179" s="117"/>
      <c r="R179" s="18"/>
      <c r="S179" s="108"/>
      <c r="T179" s="108"/>
      <c r="U179" s="108"/>
      <c r="X179" s="282"/>
      <c r="Y179" s="282"/>
      <c r="Z179" s="282"/>
      <c r="AA179" s="402"/>
      <c r="AB179" s="282"/>
      <c r="AC179" s="282"/>
      <c r="AD179" s="123"/>
      <c r="AE179" s="381"/>
      <c r="AF179" s="108"/>
      <c r="AG179" s="186"/>
      <c r="AH179" s="108"/>
      <c r="AI179" s="104"/>
      <c r="AJ179" s="103"/>
    </row>
    <row r="180" customFormat="false" ht="15" hidden="false" customHeight="true" outlineLevel="0" collapsed="false">
      <c r="C180" s="392"/>
      <c r="D180" s="154"/>
      <c r="E180" s="117"/>
      <c r="R180" s="18"/>
      <c r="S180" s="108"/>
      <c r="T180" s="108"/>
      <c r="U180" s="108"/>
      <c r="X180" s="282"/>
      <c r="Y180" s="282"/>
      <c r="Z180" s="282"/>
      <c r="AA180" s="402"/>
      <c r="AB180" s="282"/>
      <c r="AC180" s="282"/>
      <c r="AD180" s="123"/>
      <c r="AE180" s="381"/>
      <c r="AF180" s="108"/>
      <c r="AG180" s="186"/>
      <c r="AH180" s="108"/>
      <c r="AI180" s="104"/>
      <c r="AJ180" s="103"/>
    </row>
    <row r="181" customFormat="false" ht="15" hidden="false" customHeight="true" outlineLevel="0" collapsed="false">
      <c r="C181" s="392"/>
      <c r="D181" s="154"/>
      <c r="E181" s="117"/>
      <c r="R181" s="18"/>
      <c r="S181" s="108"/>
      <c r="T181" s="108"/>
      <c r="U181" s="108"/>
      <c r="X181" s="282"/>
      <c r="Y181" s="282"/>
      <c r="Z181" s="282"/>
      <c r="AA181" s="402"/>
      <c r="AB181" s="282"/>
      <c r="AC181" s="282"/>
      <c r="AD181" s="123"/>
      <c r="AE181" s="381"/>
      <c r="AF181" s="108"/>
      <c r="AG181" s="186"/>
      <c r="AH181" s="108"/>
      <c r="AI181" s="104"/>
      <c r="AJ181" s="103"/>
    </row>
    <row r="182" customFormat="false" ht="15" hidden="false" customHeight="true" outlineLevel="0" collapsed="false">
      <c r="C182" s="392"/>
      <c r="D182" s="154"/>
      <c r="E182" s="117"/>
      <c r="R182" s="18"/>
      <c r="S182" s="108"/>
      <c r="T182" s="108"/>
      <c r="U182" s="108"/>
      <c r="X182" s="282"/>
      <c r="Y182" s="282"/>
      <c r="Z182" s="282"/>
      <c r="AA182" s="402"/>
      <c r="AB182" s="282"/>
      <c r="AC182" s="282"/>
      <c r="AD182" s="123"/>
      <c r="AE182" s="381"/>
      <c r="AF182" s="108"/>
      <c r="AG182" s="186"/>
      <c r="AH182" s="108"/>
      <c r="AI182" s="104"/>
      <c r="AJ182" s="103"/>
    </row>
    <row r="183" customFormat="false" ht="15" hidden="false" customHeight="true" outlineLevel="0" collapsed="false">
      <c r="D183" s="108"/>
      <c r="E183" s="117"/>
      <c r="R183" s="18"/>
      <c r="S183" s="108"/>
      <c r="T183" s="108"/>
      <c r="U183" s="108"/>
      <c r="X183" s="282"/>
      <c r="Y183" s="282"/>
      <c r="Z183" s="282"/>
      <c r="AA183" s="402"/>
      <c r="AB183" s="282"/>
      <c r="AC183" s="282"/>
      <c r="AD183" s="123"/>
      <c r="AE183" s="381"/>
      <c r="AF183" s="108"/>
      <c r="AG183" s="108"/>
      <c r="AH183" s="108"/>
      <c r="AI183" s="104"/>
      <c r="AJ183" s="103"/>
    </row>
    <row r="184" customFormat="false" ht="15" hidden="false" customHeight="true" outlineLevel="0" collapsed="false">
      <c r="D184" s="108"/>
      <c r="E184" s="117"/>
      <c r="R184" s="18"/>
      <c r="S184" s="108"/>
      <c r="T184" s="108"/>
      <c r="U184" s="108"/>
      <c r="X184" s="282"/>
      <c r="Y184" s="282"/>
      <c r="Z184" s="282"/>
      <c r="AA184" s="402"/>
      <c r="AB184" s="282"/>
      <c r="AC184" s="282"/>
      <c r="AD184" s="123"/>
      <c r="AE184" s="381"/>
      <c r="AF184" s="108"/>
      <c r="AG184" s="108"/>
      <c r="AH184" s="108"/>
      <c r="AI184" s="104"/>
      <c r="AJ184" s="103"/>
    </row>
    <row r="185" customFormat="false" ht="15" hidden="false" customHeight="true" outlineLevel="0" collapsed="false">
      <c r="D185" s="108"/>
      <c r="E185" s="117"/>
      <c r="R185" s="18"/>
      <c r="S185" s="108"/>
      <c r="T185" s="108"/>
      <c r="U185" s="108"/>
      <c r="X185" s="282"/>
      <c r="Y185" s="282"/>
      <c r="Z185" s="282"/>
      <c r="AA185" s="402"/>
      <c r="AB185" s="282"/>
      <c r="AC185" s="282"/>
      <c r="AD185" s="123"/>
      <c r="AE185" s="381"/>
      <c r="AF185" s="108"/>
      <c r="AG185" s="186"/>
      <c r="AH185" s="108"/>
      <c r="AI185" s="104"/>
      <c r="AJ185" s="103"/>
    </row>
    <row r="186" customFormat="false" ht="15" hidden="false" customHeight="true" outlineLevel="0" collapsed="false">
      <c r="D186" s="108"/>
      <c r="E186" s="117"/>
      <c r="R186" s="18"/>
      <c r="S186" s="108"/>
      <c r="T186" s="108"/>
      <c r="U186" s="108"/>
      <c r="X186" s="282"/>
      <c r="Y186" s="282"/>
      <c r="Z186" s="282"/>
      <c r="AA186" s="402"/>
      <c r="AB186" s="282"/>
      <c r="AC186" s="282"/>
      <c r="AD186" s="123"/>
      <c r="AE186" s="381"/>
      <c r="AF186" s="108"/>
      <c r="AG186" s="186"/>
      <c r="AH186" s="108"/>
      <c r="AI186" s="104"/>
      <c r="AJ186" s="103"/>
    </row>
    <row r="187" customFormat="false" ht="15" hidden="false" customHeight="true" outlineLevel="0" collapsed="false">
      <c r="D187" s="108"/>
      <c r="E187" s="117"/>
      <c r="R187" s="18"/>
      <c r="S187" s="108"/>
      <c r="T187" s="108"/>
      <c r="U187" s="108"/>
      <c r="X187" s="282"/>
      <c r="Y187" s="282"/>
      <c r="Z187" s="282"/>
      <c r="AA187" s="402"/>
      <c r="AB187" s="282"/>
      <c r="AC187" s="282"/>
      <c r="AD187" s="123"/>
      <c r="AE187" s="381"/>
      <c r="AF187" s="108"/>
      <c r="AG187" s="108"/>
      <c r="AH187" s="108"/>
      <c r="AI187" s="104"/>
      <c r="AJ187" s="103"/>
    </row>
    <row r="188" customFormat="false" ht="15" hidden="false" customHeight="true" outlineLevel="0" collapsed="false">
      <c r="D188" s="108"/>
      <c r="E188" s="117"/>
      <c r="R188" s="18"/>
      <c r="S188" s="108"/>
      <c r="T188" s="108"/>
      <c r="U188" s="108"/>
      <c r="X188" s="282"/>
      <c r="Y188" s="282"/>
      <c r="Z188" s="282"/>
      <c r="AA188" s="402"/>
      <c r="AB188" s="282"/>
      <c r="AC188" s="282"/>
      <c r="AD188" s="123"/>
      <c r="AE188" s="381"/>
      <c r="AF188" s="108"/>
      <c r="AG188" s="108"/>
      <c r="AH188" s="108"/>
      <c r="AI188" s="104"/>
      <c r="AJ188" s="103"/>
    </row>
    <row r="189" customFormat="false" ht="15" hidden="false" customHeight="true" outlineLevel="0" collapsed="false">
      <c r="R189" s="18"/>
      <c r="S189" s="108"/>
      <c r="T189" s="108"/>
      <c r="U189" s="108"/>
      <c r="X189" s="282"/>
      <c r="Y189" s="282"/>
      <c r="Z189" s="282"/>
      <c r="AA189" s="402"/>
      <c r="AB189" s="282"/>
      <c r="AC189" s="282"/>
      <c r="AD189" s="123"/>
      <c r="AE189" s="381"/>
      <c r="AF189" s="186"/>
      <c r="AG189" s="186"/>
      <c r="AH189" s="108"/>
      <c r="AI189" s="104"/>
      <c r="AJ189" s="103"/>
    </row>
    <row r="190" customFormat="false" ht="15" hidden="false" customHeight="true" outlineLevel="0" collapsed="false">
      <c r="R190" s="18"/>
      <c r="S190" s="108"/>
      <c r="T190" s="108"/>
      <c r="U190" s="108"/>
      <c r="X190" s="282"/>
      <c r="Y190" s="282"/>
      <c r="Z190" s="282"/>
      <c r="AA190" s="402"/>
      <c r="AB190" s="282"/>
      <c r="AC190" s="282"/>
      <c r="AD190" s="123"/>
      <c r="AE190" s="381"/>
      <c r="AF190" s="186"/>
      <c r="AG190" s="186"/>
      <c r="AH190" s="108"/>
      <c r="AI190" s="104"/>
      <c r="AJ190" s="103"/>
    </row>
    <row r="191" customFormat="false" ht="15" hidden="false" customHeight="true" outlineLevel="0" collapsed="false">
      <c r="R191" s="18"/>
      <c r="S191" s="108"/>
      <c r="T191" s="108"/>
      <c r="U191" s="108"/>
      <c r="X191" s="282"/>
      <c r="Y191" s="282"/>
      <c r="Z191" s="282"/>
      <c r="AA191" s="402"/>
      <c r="AB191" s="282"/>
      <c r="AC191" s="282"/>
      <c r="AD191" s="123"/>
      <c r="AE191" s="381"/>
      <c r="AF191" s="186"/>
      <c r="AG191" s="186"/>
      <c r="AH191" s="108"/>
      <c r="AI191" s="104"/>
      <c r="AJ191" s="103"/>
    </row>
    <row r="192" customFormat="false" ht="15" hidden="false" customHeight="true" outlineLevel="0" collapsed="false">
      <c r="R192" s="18"/>
      <c r="S192" s="108"/>
      <c r="T192" s="108"/>
      <c r="U192" s="108"/>
      <c r="X192" s="282"/>
      <c r="Y192" s="282"/>
      <c r="Z192" s="282"/>
      <c r="AA192" s="402"/>
      <c r="AB192" s="282"/>
      <c r="AC192" s="282"/>
      <c r="AD192" s="123"/>
      <c r="AE192" s="381"/>
      <c r="AF192" s="186"/>
      <c r="AG192" s="186"/>
      <c r="AH192" s="108"/>
      <c r="AI192" s="104"/>
      <c r="AJ192" s="103"/>
    </row>
    <row r="193" customFormat="false" ht="15" hidden="false" customHeight="true" outlineLevel="0" collapsed="false">
      <c r="R193" s="18"/>
      <c r="S193" s="108"/>
      <c r="T193" s="108"/>
      <c r="U193" s="108"/>
      <c r="X193" s="282"/>
      <c r="Y193" s="282"/>
      <c r="Z193" s="282"/>
      <c r="AA193" s="402"/>
      <c r="AB193" s="282"/>
      <c r="AC193" s="282"/>
      <c r="AD193" s="123"/>
      <c r="AE193" s="381"/>
      <c r="AF193" s="108"/>
      <c r="AG193" s="186"/>
      <c r="AH193" s="108"/>
      <c r="AI193" s="104"/>
      <c r="AJ193" s="103"/>
    </row>
    <row r="194" customFormat="false" ht="15" hidden="false" customHeight="true" outlineLevel="0" collapsed="false">
      <c r="R194" s="18"/>
      <c r="S194" s="108"/>
      <c r="T194" s="108"/>
      <c r="U194" s="108"/>
      <c r="X194" s="282"/>
      <c r="Y194" s="282"/>
      <c r="Z194" s="282"/>
      <c r="AA194" s="402"/>
      <c r="AB194" s="282"/>
      <c r="AC194" s="282"/>
      <c r="AD194" s="123"/>
      <c r="AE194" s="381"/>
      <c r="AF194" s="108"/>
      <c r="AG194" s="108"/>
      <c r="AH194" s="108"/>
      <c r="AI194" s="104"/>
      <c r="AJ194" s="103"/>
    </row>
    <row r="195" customFormat="false" ht="15" hidden="false" customHeight="true" outlineLevel="0" collapsed="false">
      <c r="R195" s="18"/>
      <c r="S195" s="108"/>
      <c r="T195" s="108"/>
      <c r="U195" s="108"/>
      <c r="X195" s="282"/>
      <c r="Y195" s="282"/>
      <c r="Z195" s="282"/>
      <c r="AA195" s="402"/>
      <c r="AB195" s="282"/>
      <c r="AC195" s="282"/>
      <c r="AD195" s="123"/>
      <c r="AE195" s="381"/>
      <c r="AF195" s="186"/>
      <c r="AG195" s="186"/>
      <c r="AH195" s="108"/>
      <c r="AI195" s="104"/>
      <c r="AJ195" s="103"/>
    </row>
    <row r="196" customFormat="false" ht="15" hidden="false" customHeight="true" outlineLevel="0" collapsed="false">
      <c r="R196" s="18"/>
      <c r="S196" s="108"/>
      <c r="T196" s="108"/>
      <c r="U196" s="108"/>
      <c r="X196" s="282"/>
      <c r="Y196" s="282"/>
      <c r="Z196" s="282"/>
      <c r="AA196" s="402"/>
      <c r="AB196" s="282"/>
      <c r="AC196" s="282"/>
      <c r="AD196" s="123"/>
      <c r="AE196" s="381"/>
      <c r="AF196" s="108"/>
      <c r="AG196" s="108"/>
      <c r="AH196" s="108"/>
      <c r="AI196" s="104"/>
      <c r="AJ196" s="103"/>
    </row>
    <row r="197" customFormat="false" ht="15" hidden="false" customHeight="true" outlineLevel="0" collapsed="false">
      <c r="R197" s="18"/>
      <c r="S197" s="108"/>
      <c r="T197" s="108"/>
      <c r="U197" s="108"/>
      <c r="X197" s="282"/>
      <c r="Y197" s="282"/>
      <c r="Z197" s="282"/>
      <c r="AA197" s="402"/>
      <c r="AB197" s="282"/>
      <c r="AC197" s="282"/>
      <c r="AD197" s="123"/>
      <c r="AE197" s="381"/>
      <c r="AF197" s="186"/>
      <c r="AG197" s="186"/>
      <c r="AH197" s="108"/>
      <c r="AI197" s="104"/>
      <c r="AJ197" s="103"/>
    </row>
    <row r="198" customFormat="false" ht="15" hidden="false" customHeight="true" outlineLevel="0" collapsed="false">
      <c r="R198" s="18"/>
      <c r="S198" s="108"/>
      <c r="T198" s="108"/>
      <c r="U198" s="108"/>
      <c r="AD198" s="123"/>
      <c r="AE198" s="381"/>
      <c r="AF198" s="108"/>
      <c r="AG198" s="108"/>
      <c r="AH198" s="108"/>
      <c r="AI198" s="104"/>
      <c r="AJ198" s="103"/>
    </row>
    <row r="199" customFormat="false" ht="15" hidden="false" customHeight="true" outlineLevel="0" collapsed="false">
      <c r="R199" s="18"/>
      <c r="S199" s="108"/>
      <c r="T199" s="108"/>
      <c r="U199" s="108"/>
      <c r="AD199" s="123"/>
      <c r="AE199" s="381"/>
      <c r="AF199" s="186"/>
      <c r="AG199" s="186"/>
      <c r="AH199" s="108"/>
      <c r="AI199" s="104"/>
      <c r="AJ199" s="103"/>
    </row>
    <row r="200" customFormat="false" ht="15" hidden="false" customHeight="true" outlineLevel="0" collapsed="false">
      <c r="R200" s="18"/>
      <c r="S200" s="108"/>
      <c r="T200" s="108"/>
      <c r="U200" s="108"/>
      <c r="AD200" s="123"/>
      <c r="AE200" s="381"/>
      <c r="AF200" s="108"/>
      <c r="AG200" s="186"/>
      <c r="AH200" s="108"/>
      <c r="AI200" s="104"/>
      <c r="AJ200" s="103"/>
    </row>
    <row r="201" customFormat="false" ht="15" hidden="false" customHeight="true" outlineLevel="0" collapsed="false">
      <c r="R201" s="108"/>
      <c r="S201" s="30"/>
      <c r="T201" s="30"/>
      <c r="U201" s="103"/>
      <c r="AD201" s="123"/>
      <c r="AE201" s="381"/>
      <c r="AF201" s="186"/>
      <c r="AG201" s="108"/>
      <c r="AH201" s="108"/>
      <c r="AI201" s="104"/>
      <c r="AJ201" s="103"/>
    </row>
    <row r="202" customFormat="false" ht="15" hidden="false" customHeight="true" outlineLevel="0" collapsed="false">
      <c r="R202" s="108"/>
      <c r="S202" s="30"/>
      <c r="T202" s="30"/>
      <c r="U202" s="103"/>
      <c r="AD202" s="123"/>
      <c r="AE202" s="381"/>
      <c r="AF202" s="186"/>
      <c r="AG202" s="186"/>
      <c r="AH202" s="108"/>
      <c r="AI202" s="104"/>
      <c r="AJ202" s="103"/>
    </row>
    <row r="203" customFormat="false" ht="15" hidden="false" customHeight="true" outlineLevel="0" collapsed="false">
      <c r="R203" s="108"/>
      <c r="S203" s="30"/>
      <c r="T203" s="30"/>
      <c r="U203" s="103"/>
      <c r="AD203" s="123"/>
      <c r="AE203" s="381"/>
      <c r="AF203" s="186"/>
      <c r="AG203" s="186"/>
      <c r="AH203" s="108"/>
      <c r="AI203" s="104"/>
      <c r="AJ203" s="103"/>
    </row>
    <row r="204" customFormat="false" ht="15" hidden="false" customHeight="true" outlineLevel="0" collapsed="false">
      <c r="R204" s="108"/>
      <c r="S204" s="30"/>
      <c r="T204" s="30"/>
      <c r="U204" s="103"/>
      <c r="AD204" s="123"/>
      <c r="AE204" s="381"/>
      <c r="AF204" s="186"/>
      <c r="AG204" s="186"/>
      <c r="AH204" s="108"/>
      <c r="AI204" s="104"/>
      <c r="AJ204" s="103"/>
    </row>
    <row r="205" customFormat="false" ht="15" hidden="false" customHeight="true" outlineLevel="0" collapsed="false">
      <c r="R205" s="30"/>
      <c r="S205" s="30"/>
      <c r="T205" s="30"/>
      <c r="U205" s="30"/>
      <c r="AD205" s="123"/>
      <c r="AE205" s="381"/>
      <c r="AF205" s="108"/>
      <c r="AG205" s="108"/>
      <c r="AH205" s="108"/>
      <c r="AI205" s="104"/>
      <c r="AJ205" s="103"/>
    </row>
    <row r="206" customFormat="false" ht="15" hidden="false" customHeight="true" outlineLevel="0" collapsed="false">
      <c r="R206" s="30"/>
      <c r="S206" s="30"/>
      <c r="T206" s="30"/>
      <c r="U206" s="30"/>
      <c r="AD206" s="123"/>
      <c r="AE206" s="381"/>
      <c r="AF206" s="108"/>
      <c r="AG206" s="108"/>
      <c r="AH206" s="108"/>
      <c r="AI206" s="104"/>
      <c r="AJ206" s="103"/>
    </row>
    <row r="207" customFormat="false" ht="15" hidden="false" customHeight="true" outlineLevel="0" collapsed="false">
      <c r="R207" s="123"/>
      <c r="S207" s="349"/>
      <c r="T207" s="108"/>
      <c r="U207" s="108"/>
      <c r="AD207" s="123"/>
      <c r="AE207" s="381"/>
      <c r="AF207" s="186"/>
      <c r="AG207" s="186"/>
      <c r="AH207" s="108"/>
      <c r="AI207" s="104"/>
      <c r="AJ207" s="103"/>
    </row>
    <row r="208" customFormat="false" ht="15" hidden="false" customHeight="true" outlineLevel="0" collapsed="false">
      <c r="R208" s="18"/>
      <c r="S208" s="108"/>
      <c r="T208" s="108"/>
      <c r="U208" s="108"/>
      <c r="AD208" s="123"/>
      <c r="AE208" s="381"/>
      <c r="AF208" s="186"/>
      <c r="AG208" s="186"/>
      <c r="AH208" s="108"/>
      <c r="AI208" s="104"/>
      <c r="AJ208" s="103"/>
    </row>
    <row r="209" customFormat="false" ht="15" hidden="false" customHeight="true" outlineLevel="0" collapsed="false">
      <c r="R209" s="18"/>
      <c r="S209" s="108"/>
      <c r="T209" s="108"/>
      <c r="U209" s="108"/>
      <c r="AD209" s="123"/>
      <c r="AE209" s="381"/>
      <c r="AF209" s="186"/>
      <c r="AG209" s="108"/>
      <c r="AH209" s="108"/>
      <c r="AI209" s="104"/>
      <c r="AJ209" s="103"/>
    </row>
    <row r="210" customFormat="false" ht="15" hidden="false" customHeight="true" outlineLevel="0" collapsed="false">
      <c r="R210" s="18"/>
      <c r="S210" s="108"/>
      <c r="T210" s="108"/>
      <c r="U210" s="108"/>
      <c r="AD210" s="123"/>
      <c r="AE210" s="381"/>
      <c r="AF210" s="186"/>
      <c r="AG210" s="186"/>
      <c r="AH210" s="108"/>
      <c r="AI210" s="104"/>
      <c r="AJ210" s="103"/>
    </row>
    <row r="211" customFormat="false" ht="15" hidden="false" customHeight="true" outlineLevel="0" collapsed="false">
      <c r="R211" s="18"/>
      <c r="S211" s="108"/>
      <c r="T211" s="108"/>
      <c r="U211" s="108"/>
      <c r="AD211" s="123"/>
      <c r="AE211" s="381"/>
      <c r="AF211" s="186"/>
      <c r="AG211" s="186"/>
      <c r="AH211" s="108"/>
      <c r="AI211" s="104"/>
      <c r="AJ211" s="103"/>
    </row>
    <row r="212" customFormat="false" ht="15" hidden="false" customHeight="true" outlineLevel="0" collapsed="false">
      <c r="R212" s="18"/>
      <c r="S212" s="108"/>
      <c r="T212" s="108"/>
      <c r="U212" s="108"/>
      <c r="AD212" s="123"/>
      <c r="AE212" s="381"/>
      <c r="AF212" s="186"/>
      <c r="AG212" s="186"/>
      <c r="AH212" s="108"/>
      <c r="AI212" s="104"/>
      <c r="AJ212" s="103"/>
    </row>
    <row r="213" customFormat="false" ht="11.25" hidden="false" customHeight="false" outlineLevel="0" collapsed="false">
      <c r="R213" s="18"/>
      <c r="S213" s="108"/>
      <c r="T213" s="108"/>
      <c r="U213" s="108"/>
      <c r="AD213" s="123"/>
      <c r="AE213" s="381"/>
      <c r="AF213" s="186"/>
      <c r="AG213" s="186"/>
      <c r="AH213" s="108"/>
      <c r="AI213" s="104"/>
      <c r="AJ213" s="103"/>
    </row>
    <row r="214" customFormat="false" ht="11.25" hidden="false" customHeight="false" outlineLevel="0" collapsed="false">
      <c r="R214" s="18"/>
      <c r="S214" s="108"/>
      <c r="T214" s="108"/>
      <c r="U214" s="108"/>
      <c r="AD214" s="123"/>
      <c r="AE214" s="381"/>
      <c r="AF214" s="108"/>
      <c r="AG214" s="186"/>
      <c r="AH214" s="108"/>
      <c r="AI214" s="104"/>
      <c r="AJ214" s="103"/>
    </row>
    <row r="215" customFormat="false" ht="11.25" hidden="false" customHeight="false" outlineLevel="0" collapsed="false">
      <c r="R215" s="18"/>
      <c r="S215" s="108"/>
      <c r="T215" s="108"/>
      <c r="U215" s="108"/>
      <c r="AD215" s="123"/>
      <c r="AE215" s="381"/>
      <c r="AF215" s="108"/>
      <c r="AG215" s="154"/>
      <c r="AH215" s="108"/>
      <c r="AI215" s="104"/>
      <c r="AJ215" s="103"/>
    </row>
    <row r="216" customFormat="false" ht="11.25" hidden="false" customHeight="false" outlineLevel="0" collapsed="false">
      <c r="R216" s="18"/>
      <c r="S216" s="108"/>
      <c r="T216" s="108"/>
      <c r="U216" s="108"/>
      <c r="AD216" s="123"/>
      <c r="AE216" s="381"/>
      <c r="AF216" s="108"/>
      <c r="AG216" s="154"/>
      <c r="AH216" s="108"/>
      <c r="AI216" s="104"/>
      <c r="AJ216" s="103"/>
    </row>
    <row r="217" customFormat="false" ht="11.25" hidden="false" customHeight="false" outlineLevel="0" collapsed="false">
      <c r="R217" s="18"/>
      <c r="S217" s="108"/>
      <c r="T217" s="108"/>
      <c r="U217" s="108"/>
      <c r="AD217" s="123"/>
      <c r="AE217" s="381"/>
      <c r="AF217" s="154"/>
      <c r="AG217" s="154"/>
      <c r="AH217" s="108"/>
      <c r="AI217" s="104"/>
      <c r="AJ217" s="103"/>
    </row>
    <row r="218" customFormat="false" ht="11.25" hidden="false" customHeight="false" outlineLevel="0" collapsed="false">
      <c r="R218" s="18"/>
      <c r="S218" s="108"/>
      <c r="T218" s="108"/>
      <c r="U218" s="108"/>
      <c r="AD218" s="123"/>
      <c r="AE218" s="381"/>
      <c r="AF218" s="403"/>
      <c r="AG218" s="403"/>
      <c r="AH218" s="108"/>
      <c r="AI218" s="104"/>
      <c r="AJ218" s="103"/>
    </row>
    <row r="219" customFormat="false" ht="11.25" hidden="false" customHeight="false" outlineLevel="0" collapsed="false">
      <c r="R219" s="18"/>
      <c r="S219" s="108"/>
      <c r="T219" s="108"/>
      <c r="U219" s="108"/>
      <c r="AD219" s="123"/>
      <c r="AE219" s="381"/>
      <c r="AF219" s="403"/>
      <c r="AG219" s="403"/>
      <c r="AH219" s="108"/>
      <c r="AI219" s="104"/>
      <c r="AJ219" s="103"/>
    </row>
    <row r="220" customFormat="false" ht="11.25" hidden="false" customHeight="false" outlineLevel="0" collapsed="false">
      <c r="R220" s="18"/>
      <c r="S220" s="108"/>
      <c r="T220" s="108"/>
      <c r="U220" s="108"/>
      <c r="AD220" s="123"/>
      <c r="AE220" s="381"/>
      <c r="AF220" s="403"/>
      <c r="AG220" s="403"/>
      <c r="AH220" s="108"/>
      <c r="AI220" s="104"/>
      <c r="AJ220" s="103"/>
    </row>
    <row r="221" customFormat="false" ht="11.25" hidden="false" customHeight="false" outlineLevel="0" collapsed="false">
      <c r="R221" s="18"/>
      <c r="S221" s="108"/>
      <c r="T221" s="108"/>
      <c r="U221" s="108"/>
      <c r="AD221" s="123"/>
      <c r="AE221" s="381"/>
      <c r="AF221" s="108"/>
      <c r="AG221" s="403"/>
      <c r="AH221" s="108"/>
      <c r="AI221" s="104"/>
      <c r="AJ221" s="103"/>
    </row>
    <row r="222" customFormat="false" ht="11.25" hidden="false" customHeight="false" outlineLevel="0" collapsed="false">
      <c r="R222" s="18"/>
      <c r="S222" s="108"/>
      <c r="T222" s="108"/>
      <c r="U222" s="108"/>
      <c r="AD222" s="123"/>
      <c r="AE222" s="381"/>
      <c r="AF222" s="108"/>
      <c r="AG222" s="186"/>
      <c r="AH222" s="108"/>
      <c r="AI222" s="104"/>
      <c r="AJ222" s="103"/>
    </row>
    <row r="223" customFormat="false" ht="11.25" hidden="false" customHeight="false" outlineLevel="0" collapsed="false">
      <c r="R223" s="18"/>
      <c r="S223" s="108"/>
      <c r="T223" s="108"/>
      <c r="U223" s="108"/>
      <c r="AD223" s="123"/>
      <c r="AE223" s="381"/>
      <c r="AF223" s="108"/>
      <c r="AG223" s="186"/>
      <c r="AH223" s="108"/>
      <c r="AI223" s="104"/>
      <c r="AJ223" s="103"/>
    </row>
    <row r="224" customFormat="false" ht="11.25" hidden="false" customHeight="false" outlineLevel="0" collapsed="false">
      <c r="R224" s="18"/>
      <c r="S224" s="108"/>
      <c r="T224" s="108"/>
      <c r="U224" s="108"/>
      <c r="AD224" s="123"/>
      <c r="AE224" s="381"/>
      <c r="AF224" s="108"/>
      <c r="AG224" s="186"/>
      <c r="AH224" s="108"/>
      <c r="AI224" s="104"/>
      <c r="AJ224" s="103"/>
    </row>
    <row r="225" customFormat="false" ht="11.25" hidden="false" customHeight="false" outlineLevel="0" collapsed="false">
      <c r="R225" s="18"/>
      <c r="S225" s="108"/>
      <c r="T225" s="108"/>
      <c r="U225" s="108"/>
      <c r="AD225" s="123"/>
      <c r="AE225" s="381"/>
      <c r="AF225" s="154"/>
      <c r="AG225" s="108"/>
      <c r="AH225" s="108"/>
      <c r="AI225" s="104"/>
      <c r="AJ225" s="103"/>
    </row>
    <row r="226" customFormat="false" ht="11.25" hidden="false" customHeight="false" outlineLevel="0" collapsed="false">
      <c r="R226" s="18"/>
      <c r="S226" s="108"/>
      <c r="T226" s="108"/>
      <c r="U226" s="108"/>
      <c r="AD226" s="123"/>
      <c r="AE226" s="381"/>
      <c r="AF226" s="154"/>
      <c r="AG226" s="154"/>
      <c r="AH226" s="108"/>
      <c r="AI226" s="104"/>
      <c r="AJ226" s="103"/>
    </row>
    <row r="227" customFormat="false" ht="11.25" hidden="false" customHeight="false" outlineLevel="0" collapsed="false">
      <c r="R227" s="18"/>
      <c r="S227" s="108"/>
      <c r="T227" s="108"/>
      <c r="U227" s="108"/>
      <c r="AD227" s="123"/>
      <c r="AE227" s="381"/>
      <c r="AF227" s="154"/>
      <c r="AG227" s="154"/>
      <c r="AH227" s="108"/>
      <c r="AI227" s="104"/>
      <c r="AJ227" s="103"/>
    </row>
    <row r="228" customFormat="false" ht="11.25" hidden="false" customHeight="false" outlineLevel="0" collapsed="false">
      <c r="R228" s="18"/>
      <c r="S228" s="108"/>
      <c r="T228" s="108"/>
      <c r="U228" s="108"/>
      <c r="AD228" s="123"/>
      <c r="AE228" s="381"/>
      <c r="AF228" s="154"/>
      <c r="AG228" s="154"/>
      <c r="AH228" s="108"/>
      <c r="AI228" s="104"/>
      <c r="AJ228" s="103"/>
    </row>
    <row r="229" customFormat="false" ht="11.25" hidden="false" customHeight="false" outlineLevel="0" collapsed="false">
      <c r="R229" s="18"/>
      <c r="S229" s="108"/>
      <c r="T229" s="108"/>
      <c r="U229" s="108"/>
      <c r="AD229" s="123"/>
      <c r="AE229" s="381"/>
      <c r="AF229" s="154"/>
      <c r="AG229" s="108"/>
      <c r="AH229" s="108"/>
      <c r="AI229" s="104"/>
      <c r="AJ229" s="103"/>
    </row>
    <row r="230" customFormat="false" ht="11.25" hidden="false" customHeight="false" outlineLevel="0" collapsed="false">
      <c r="R230" s="18"/>
      <c r="S230" s="108"/>
      <c r="T230" s="108"/>
      <c r="U230" s="108"/>
      <c r="AD230" s="123"/>
      <c r="AE230" s="381"/>
      <c r="AF230" s="154"/>
      <c r="AG230" s="403"/>
      <c r="AH230" s="108"/>
      <c r="AI230" s="104"/>
      <c r="AJ230" s="103"/>
    </row>
    <row r="231" customFormat="false" ht="11.25" hidden="false" customHeight="false" outlineLevel="0" collapsed="false">
      <c r="R231" s="18"/>
      <c r="S231" s="108"/>
      <c r="T231" s="108"/>
      <c r="U231" s="108"/>
      <c r="AD231" s="123"/>
      <c r="AE231" s="381"/>
      <c r="AF231" s="154"/>
      <c r="AG231" s="403"/>
      <c r="AH231" s="108"/>
      <c r="AI231" s="104"/>
      <c r="AJ231" s="103"/>
    </row>
    <row r="232" customFormat="false" ht="11.25" hidden="false" customHeight="false" outlineLevel="0" collapsed="false">
      <c r="R232" s="18"/>
      <c r="S232" s="108"/>
      <c r="T232" s="108"/>
      <c r="U232" s="108"/>
      <c r="AD232" s="123"/>
      <c r="AE232" s="381"/>
      <c r="AF232" s="154"/>
      <c r="AG232" s="403"/>
      <c r="AH232" s="108"/>
      <c r="AI232" s="104"/>
      <c r="AJ232" s="103"/>
      <c r="AN232" s="79"/>
      <c r="AO232" s="103"/>
    </row>
    <row r="233" customFormat="false" ht="11.25" hidden="false" customHeight="false" outlineLevel="0" collapsed="false">
      <c r="R233" s="18"/>
      <c r="S233" s="108"/>
      <c r="T233" s="108"/>
      <c r="U233" s="108"/>
      <c r="AD233" s="123"/>
      <c r="AE233" s="381"/>
      <c r="AF233" s="108"/>
      <c r="AG233" s="186"/>
      <c r="AH233" s="108"/>
      <c r="AI233" s="104"/>
      <c r="AJ233" s="103"/>
    </row>
    <row r="234" customFormat="false" ht="11.25" hidden="false" customHeight="false" outlineLevel="0" collapsed="false">
      <c r="R234" s="18"/>
      <c r="S234" s="108"/>
      <c r="T234" s="108"/>
      <c r="U234" s="108"/>
      <c r="AD234" s="123"/>
      <c r="AE234" s="381"/>
      <c r="AF234" s="108"/>
      <c r="AG234" s="108"/>
      <c r="AH234" s="108"/>
      <c r="AI234" s="104"/>
      <c r="AJ234" s="103"/>
      <c r="AO234" s="79"/>
    </row>
    <row r="235" customFormat="false" ht="11.25" hidden="false" customHeight="false" outlineLevel="0" collapsed="false">
      <c r="R235" s="18"/>
      <c r="S235" s="108"/>
      <c r="T235" s="108"/>
      <c r="U235" s="108"/>
      <c r="AD235" s="123"/>
      <c r="AE235" s="381"/>
      <c r="AF235" s="108"/>
      <c r="AG235" s="108"/>
      <c r="AH235" s="108"/>
      <c r="AI235" s="104"/>
      <c r="AJ235" s="103"/>
    </row>
    <row r="236" customFormat="false" ht="11.25" hidden="false" customHeight="false" outlineLevel="0" collapsed="false">
      <c r="R236" s="18"/>
      <c r="S236" s="108"/>
      <c r="T236" s="108"/>
      <c r="U236" s="108"/>
      <c r="AD236" s="123"/>
      <c r="AE236" s="381"/>
      <c r="AF236" s="108"/>
      <c r="AG236" s="108"/>
      <c r="AH236" s="108"/>
      <c r="AI236" s="104"/>
      <c r="AJ236" s="103"/>
    </row>
    <row r="237" customFormat="false" ht="11.25" hidden="false" customHeight="false" outlineLevel="0" collapsed="false">
      <c r="R237" s="18"/>
      <c r="S237" s="108"/>
      <c r="T237" s="108"/>
      <c r="U237" s="108"/>
      <c r="AD237" s="123"/>
      <c r="AE237" s="381"/>
      <c r="AF237" s="108"/>
      <c r="AG237" s="108"/>
      <c r="AH237" s="108"/>
      <c r="AI237" s="104"/>
      <c r="AJ237" s="103"/>
    </row>
    <row r="238" customFormat="false" ht="11.25" hidden="false" customHeight="false" outlineLevel="0" collapsed="false">
      <c r="R238" s="18"/>
      <c r="S238" s="108"/>
      <c r="T238" s="108"/>
      <c r="U238" s="108"/>
      <c r="AD238" s="123"/>
      <c r="AE238" s="381"/>
      <c r="AF238" s="154"/>
      <c r="AG238" s="108"/>
      <c r="AH238" s="108"/>
      <c r="AI238" s="104"/>
      <c r="AJ238" s="103"/>
    </row>
    <row r="239" customFormat="false" ht="11.25" hidden="false" customHeight="false" outlineLevel="0" collapsed="false">
      <c r="R239" s="18"/>
      <c r="S239" s="108"/>
      <c r="T239" s="108"/>
      <c r="U239" s="108"/>
      <c r="AD239" s="123"/>
      <c r="AE239" s="381"/>
      <c r="AF239" s="154"/>
      <c r="AG239" s="404"/>
      <c r="AH239" s="108"/>
      <c r="AI239" s="104"/>
      <c r="AJ239" s="103"/>
    </row>
    <row r="240" customFormat="false" ht="11.25" hidden="false" customHeight="false" outlineLevel="0" collapsed="false">
      <c r="R240" s="18"/>
      <c r="S240" s="108"/>
      <c r="T240" s="108"/>
      <c r="U240" s="108"/>
      <c r="AD240" s="123"/>
      <c r="AE240" s="381"/>
      <c r="AF240" s="154"/>
      <c r="AG240" s="404"/>
      <c r="AH240" s="108"/>
      <c r="AI240" s="104"/>
      <c r="AJ240" s="103"/>
    </row>
    <row r="241" customFormat="false" ht="11.25" hidden="false" customHeight="false" outlineLevel="0" collapsed="false">
      <c r="R241" s="108"/>
      <c r="S241" s="30"/>
      <c r="T241" s="30"/>
      <c r="U241" s="103"/>
      <c r="AD241" s="123"/>
      <c r="AE241" s="381"/>
      <c r="AF241" s="154"/>
      <c r="AG241" s="404"/>
      <c r="AH241" s="108"/>
      <c r="AI241" s="104"/>
      <c r="AJ241" s="103"/>
    </row>
    <row r="242" customFormat="false" ht="11.25" hidden="false" customHeight="false" outlineLevel="0" collapsed="false">
      <c r="R242" s="108"/>
      <c r="S242" s="30"/>
      <c r="T242" s="30"/>
      <c r="U242" s="103"/>
      <c r="AD242" s="123"/>
      <c r="AE242" s="381"/>
      <c r="AF242" s="154"/>
      <c r="AG242" s="403"/>
      <c r="AH242" s="108"/>
      <c r="AI242" s="104"/>
      <c r="AJ242" s="103"/>
    </row>
    <row r="243" customFormat="false" ht="11.25" hidden="false" customHeight="false" outlineLevel="0" collapsed="false">
      <c r="R243" s="108"/>
      <c r="S243" s="30"/>
      <c r="T243" s="30"/>
      <c r="U243" s="103"/>
      <c r="AD243" s="123"/>
      <c r="AE243" s="381"/>
      <c r="AF243" s="154"/>
      <c r="AG243" s="404"/>
      <c r="AH243" s="108"/>
      <c r="AI243" s="104"/>
      <c r="AJ243" s="103"/>
    </row>
    <row r="244" customFormat="false" ht="11.25" hidden="false" customHeight="false" outlineLevel="0" collapsed="false">
      <c r="R244" s="108"/>
      <c r="S244" s="30"/>
      <c r="T244" s="30"/>
      <c r="U244" s="103"/>
      <c r="AD244" s="123"/>
      <c r="AE244" s="381"/>
      <c r="AF244" s="154"/>
      <c r="AG244" s="403"/>
      <c r="AH244" s="108"/>
      <c r="AI244" s="104"/>
      <c r="AJ244" s="103"/>
    </row>
    <row r="245" customFormat="false" ht="11.25" hidden="false" customHeight="false" outlineLevel="0" collapsed="false">
      <c r="R245" s="30"/>
      <c r="S245" s="30"/>
      <c r="T245" s="30"/>
      <c r="U245" s="30"/>
      <c r="AD245" s="123"/>
      <c r="AE245" s="381"/>
      <c r="AF245" s="154"/>
      <c r="AG245" s="403"/>
      <c r="AH245" s="108"/>
      <c r="AI245" s="104"/>
      <c r="AJ245" s="103"/>
    </row>
    <row r="246" customFormat="false" ht="11.25" hidden="false" customHeight="false" outlineLevel="0" collapsed="false">
      <c r="R246" s="30"/>
      <c r="S246" s="30"/>
      <c r="T246" s="30"/>
      <c r="U246" s="30"/>
      <c r="AD246" s="123"/>
      <c r="AE246" s="381"/>
      <c r="AF246" s="108"/>
      <c r="AG246" s="186"/>
      <c r="AH246" s="108"/>
      <c r="AI246" s="104"/>
      <c r="AJ246" s="103"/>
      <c r="AN246" s="79"/>
      <c r="AO246" s="103"/>
    </row>
    <row r="247" customFormat="false" ht="11.25" hidden="false" customHeight="false" outlineLevel="0" collapsed="false">
      <c r="R247" s="30"/>
      <c r="S247" s="30"/>
      <c r="T247" s="30"/>
      <c r="U247" s="30"/>
      <c r="AD247" s="123"/>
      <c r="AE247" s="381"/>
      <c r="AF247" s="405"/>
      <c r="AG247" s="154"/>
      <c r="AH247" s="108"/>
      <c r="AI247" s="104"/>
      <c r="AJ247" s="103"/>
      <c r="AO247" s="79"/>
    </row>
    <row r="248" customFormat="false" ht="11.25" hidden="false" customHeight="false" outlineLevel="0" collapsed="false">
      <c r="R248" s="30"/>
      <c r="S248" s="30"/>
      <c r="T248" s="30"/>
      <c r="U248" s="30"/>
      <c r="AD248" s="123"/>
      <c r="AE248" s="381"/>
      <c r="AF248" s="405"/>
      <c r="AG248" s="405"/>
      <c r="AH248" s="108"/>
      <c r="AI248" s="104"/>
      <c r="AJ248" s="103"/>
    </row>
    <row r="249" customFormat="false" ht="11.25" hidden="false" customHeight="false" outlineLevel="0" collapsed="false">
      <c r="R249" s="30"/>
      <c r="S249" s="30"/>
      <c r="T249" s="30"/>
      <c r="U249" s="30"/>
      <c r="AD249" s="123"/>
      <c r="AE249" s="381"/>
      <c r="AF249" s="404"/>
      <c r="AG249" s="404"/>
      <c r="AH249" s="108"/>
      <c r="AI249" s="104"/>
      <c r="AJ249" s="103"/>
    </row>
    <row r="250" customFormat="false" ht="11.25" hidden="false" customHeight="false" outlineLevel="0" collapsed="false">
      <c r="R250" s="30"/>
      <c r="S250" s="30"/>
      <c r="T250" s="30"/>
      <c r="U250" s="30"/>
      <c r="AD250" s="123"/>
      <c r="AE250" s="381"/>
      <c r="AF250" s="404"/>
      <c r="AG250" s="404"/>
      <c r="AH250" s="108"/>
      <c r="AI250" s="104"/>
      <c r="AJ250" s="103"/>
    </row>
    <row r="251" customFormat="false" ht="11.25" hidden="false" customHeight="false" outlineLevel="0" collapsed="false">
      <c r="R251" s="30"/>
      <c r="S251" s="30"/>
      <c r="T251" s="30"/>
      <c r="U251" s="30"/>
      <c r="AD251" s="123"/>
      <c r="AE251" s="381"/>
      <c r="AF251" s="405"/>
      <c r="AG251" s="405"/>
      <c r="AH251" s="108"/>
      <c r="AI251" s="104"/>
      <c r="AJ251" s="103"/>
      <c r="AO251" s="79"/>
    </row>
    <row r="252" customFormat="false" ht="11.25" hidden="false" customHeight="false" outlineLevel="0" collapsed="false">
      <c r="R252" s="30"/>
      <c r="S252" s="30"/>
      <c r="T252" s="30"/>
      <c r="U252" s="30"/>
      <c r="AD252" s="123"/>
      <c r="AE252" s="381"/>
      <c r="AF252" s="108"/>
      <c r="AG252" s="108"/>
      <c r="AH252" s="108"/>
      <c r="AI252" s="104"/>
      <c r="AJ252" s="103"/>
      <c r="AO252" s="79"/>
    </row>
    <row r="253" customFormat="false" ht="11.25" hidden="false" customHeight="false" outlineLevel="0" collapsed="false">
      <c r="R253" s="30"/>
      <c r="S253" s="30"/>
      <c r="T253" s="30"/>
      <c r="U253" s="30"/>
      <c r="AD253" s="123"/>
      <c r="AE253" s="381"/>
      <c r="AF253" s="108"/>
      <c r="AG253" s="108"/>
      <c r="AH253" s="108"/>
      <c r="AI253" s="104"/>
      <c r="AJ253" s="103"/>
    </row>
    <row r="254" customFormat="false" ht="11.25" hidden="false" customHeight="false" outlineLevel="0" collapsed="false">
      <c r="R254" s="30"/>
      <c r="S254" s="30"/>
      <c r="T254" s="30"/>
      <c r="U254" s="30"/>
      <c r="AD254" s="123"/>
      <c r="AE254" s="381"/>
      <c r="AF254" s="186"/>
      <c r="AG254" s="108"/>
      <c r="AH254" s="108"/>
      <c r="AI254" s="104"/>
      <c r="AJ254" s="103"/>
    </row>
    <row r="255" customFormat="false" ht="11.25" hidden="false" customHeight="false" outlineLevel="0" collapsed="false">
      <c r="R255" s="30"/>
      <c r="S255" s="30"/>
      <c r="T255" s="30"/>
      <c r="U255" s="30"/>
      <c r="AD255" s="123"/>
      <c r="AE255" s="381"/>
      <c r="AF255" s="405"/>
      <c r="AG255" s="403"/>
      <c r="AH255" s="108"/>
      <c r="AI255" s="104"/>
      <c r="AJ255" s="103"/>
    </row>
    <row r="256" customFormat="false" ht="11.25" hidden="false" customHeight="false" outlineLevel="0" collapsed="false">
      <c r="R256" s="30"/>
      <c r="S256" s="30"/>
      <c r="T256" s="30"/>
      <c r="U256" s="30"/>
      <c r="AD256" s="123"/>
      <c r="AE256" s="381"/>
      <c r="AF256" s="405"/>
      <c r="AG256" s="405"/>
      <c r="AH256" s="108"/>
      <c r="AI256" s="104"/>
      <c r="AJ256" s="103"/>
    </row>
    <row r="257" customFormat="false" ht="11.25" hidden="false" customHeight="false" outlineLevel="0" collapsed="false">
      <c r="R257" s="30"/>
      <c r="S257" s="30"/>
      <c r="T257" s="30"/>
      <c r="U257" s="30"/>
      <c r="AD257" s="123"/>
      <c r="AE257" s="381"/>
      <c r="AF257" s="404"/>
      <c r="AG257" s="404"/>
      <c r="AH257" s="108"/>
      <c r="AI257" s="104"/>
      <c r="AJ257" s="103"/>
    </row>
    <row r="258" customFormat="false" ht="11.25" hidden="false" customHeight="false" outlineLevel="0" collapsed="false">
      <c r="R258" s="30"/>
      <c r="S258" s="30"/>
      <c r="T258" s="30"/>
      <c r="U258" s="30"/>
      <c r="AD258" s="123"/>
      <c r="AE258" s="381"/>
      <c r="AF258" s="405"/>
      <c r="AG258" s="405"/>
      <c r="AH258" s="108"/>
      <c r="AI258" s="104"/>
      <c r="AJ258" s="103"/>
      <c r="AO258" s="79"/>
    </row>
    <row r="259" customFormat="false" ht="11.25" hidden="false" customHeight="false" outlineLevel="0" collapsed="false">
      <c r="R259" s="30"/>
      <c r="S259" s="30"/>
      <c r="T259" s="30"/>
      <c r="U259" s="30"/>
      <c r="AD259" s="123"/>
      <c r="AE259" s="381"/>
      <c r="AF259" s="108"/>
      <c r="AG259" s="108"/>
      <c r="AH259" s="108"/>
      <c r="AI259" s="104"/>
      <c r="AJ259" s="103"/>
      <c r="AO259" s="79"/>
    </row>
    <row r="260" customFormat="false" ht="11.25" hidden="false" customHeight="false" outlineLevel="0" collapsed="false">
      <c r="R260" s="30"/>
      <c r="S260" s="30"/>
      <c r="T260" s="30"/>
      <c r="U260" s="30"/>
      <c r="AD260" s="123"/>
      <c r="AE260" s="381"/>
      <c r="AF260" s="108"/>
      <c r="AG260" s="108"/>
      <c r="AH260" s="108"/>
      <c r="AI260" s="104"/>
      <c r="AJ260" s="103"/>
      <c r="AO260" s="79"/>
    </row>
    <row r="261" customFormat="false" ht="11.25" hidden="false" customHeight="false" outlineLevel="0" collapsed="false">
      <c r="R261" s="30"/>
      <c r="S261" s="30"/>
      <c r="T261" s="30"/>
      <c r="U261" s="30"/>
      <c r="AD261" s="123"/>
      <c r="AE261" s="381"/>
      <c r="AF261" s="108"/>
      <c r="AG261" s="108"/>
      <c r="AH261" s="108"/>
      <c r="AI261" s="104"/>
      <c r="AJ261" s="103"/>
    </row>
    <row r="262" customFormat="false" ht="11.25" hidden="false" customHeight="false" outlineLevel="0" collapsed="false">
      <c r="R262" s="30"/>
      <c r="S262" s="30"/>
      <c r="T262" s="30"/>
      <c r="U262" s="30"/>
      <c r="AD262" s="123"/>
      <c r="AE262" s="381"/>
      <c r="AF262" s="186"/>
      <c r="AG262" s="108"/>
      <c r="AH262" s="108"/>
      <c r="AI262" s="104"/>
      <c r="AJ262" s="103"/>
    </row>
    <row r="263" customFormat="false" ht="11.25" hidden="false" customHeight="false" outlineLevel="0" collapsed="false">
      <c r="R263" s="30"/>
      <c r="S263" s="30"/>
      <c r="T263" s="30"/>
      <c r="U263" s="30"/>
      <c r="AD263" s="123"/>
      <c r="AE263" s="381"/>
      <c r="AF263" s="404"/>
      <c r="AG263" s="154"/>
      <c r="AH263" s="108"/>
      <c r="AI263" s="104"/>
      <c r="AJ263" s="103"/>
    </row>
    <row r="264" customFormat="false" ht="11.25" hidden="false" customHeight="false" outlineLevel="0" collapsed="false">
      <c r="R264" s="30"/>
      <c r="S264" s="30"/>
      <c r="T264" s="30"/>
      <c r="U264" s="30"/>
      <c r="AD264" s="123"/>
      <c r="AE264" s="381"/>
      <c r="AF264" s="405"/>
      <c r="AG264" s="405"/>
      <c r="AH264" s="108"/>
      <c r="AI264" s="104"/>
      <c r="AJ264" s="103"/>
    </row>
    <row r="265" customFormat="false" ht="11.25" hidden="false" customHeight="false" outlineLevel="0" collapsed="false">
      <c r="R265" s="30"/>
      <c r="S265" s="30"/>
      <c r="T265" s="30"/>
      <c r="U265" s="30"/>
      <c r="AD265" s="123"/>
      <c r="AE265" s="381"/>
      <c r="AF265" s="405"/>
      <c r="AG265" s="405"/>
      <c r="AH265" s="108"/>
      <c r="AI265" s="104"/>
      <c r="AJ265" s="103"/>
    </row>
    <row r="266" customFormat="false" ht="11.25" hidden="false" customHeight="false" outlineLevel="0" collapsed="false">
      <c r="R266" s="30"/>
      <c r="S266" s="30"/>
      <c r="T266" s="30"/>
      <c r="U266" s="30"/>
      <c r="AD266" s="123"/>
      <c r="AE266" s="381"/>
      <c r="AF266" s="108"/>
      <c r="AG266" s="186"/>
      <c r="AH266" s="108"/>
      <c r="AI266" s="104"/>
      <c r="AJ266" s="103"/>
    </row>
    <row r="267" customFormat="false" ht="11.25" hidden="false" customHeight="false" outlineLevel="0" collapsed="false">
      <c r="R267" s="30"/>
      <c r="S267" s="30"/>
      <c r="T267" s="30"/>
      <c r="U267" s="30"/>
      <c r="AD267" s="123"/>
      <c r="AE267" s="381"/>
      <c r="AF267" s="108"/>
      <c r="AG267" s="186"/>
      <c r="AH267" s="108"/>
      <c r="AI267" s="104"/>
      <c r="AJ267" s="103"/>
    </row>
    <row r="268" customFormat="false" ht="11.25" hidden="false" customHeight="false" outlineLevel="0" collapsed="false">
      <c r="R268" s="30"/>
      <c r="S268" s="30"/>
      <c r="T268" s="30"/>
      <c r="U268" s="30"/>
      <c r="AD268" s="123"/>
      <c r="AE268" s="381"/>
      <c r="AF268" s="108"/>
      <c r="AG268" s="186"/>
      <c r="AH268" s="108"/>
      <c r="AI268" s="104"/>
      <c r="AJ268" s="103"/>
    </row>
    <row r="269" customFormat="false" ht="11.25" hidden="false" customHeight="false" outlineLevel="0" collapsed="false">
      <c r="R269" s="30"/>
      <c r="S269" s="30"/>
      <c r="T269" s="30"/>
      <c r="U269" s="30"/>
      <c r="AD269" s="123"/>
      <c r="AE269" s="381"/>
      <c r="AF269" s="108"/>
      <c r="AG269" s="186"/>
      <c r="AH269" s="108"/>
      <c r="AI269" s="104"/>
      <c r="AJ269" s="103"/>
      <c r="AO269" s="79"/>
    </row>
    <row r="270" customFormat="false" ht="11.25" hidden="false" customHeight="false" outlineLevel="0" collapsed="false">
      <c r="R270" s="30"/>
      <c r="S270" s="30"/>
      <c r="T270" s="30"/>
      <c r="U270" s="30"/>
      <c r="AD270" s="123"/>
      <c r="AE270" s="381"/>
      <c r="AF270" s="186"/>
      <c r="AG270" s="108"/>
      <c r="AH270" s="108"/>
      <c r="AI270" s="104"/>
      <c r="AJ270" s="103"/>
    </row>
    <row r="271" customFormat="false" ht="11.25" hidden="false" customHeight="false" outlineLevel="0" collapsed="false">
      <c r="R271" s="30"/>
      <c r="S271" s="30"/>
      <c r="T271" s="30"/>
      <c r="U271" s="30"/>
      <c r="AD271" s="123"/>
      <c r="AE271" s="381"/>
      <c r="AF271" s="404"/>
      <c r="AG271" s="403"/>
      <c r="AH271" s="108"/>
      <c r="AI271" s="104"/>
      <c r="AJ271" s="103"/>
    </row>
    <row r="272" customFormat="false" ht="11.25" hidden="false" customHeight="false" outlineLevel="0" collapsed="false">
      <c r="R272" s="30"/>
      <c r="S272" s="30"/>
      <c r="T272" s="30"/>
      <c r="U272" s="30"/>
      <c r="AD272" s="123"/>
      <c r="AE272" s="381"/>
      <c r="AF272" s="404"/>
      <c r="AG272" s="405"/>
      <c r="AH272" s="108"/>
      <c r="AI272" s="104"/>
      <c r="AJ272" s="103"/>
    </row>
    <row r="273" customFormat="false" ht="11.25" hidden="false" customHeight="false" outlineLevel="0" collapsed="false">
      <c r="R273" s="30"/>
      <c r="S273" s="30"/>
      <c r="T273" s="30"/>
      <c r="U273" s="30"/>
      <c r="AD273" s="123"/>
      <c r="AE273" s="381"/>
      <c r="AF273" s="405"/>
      <c r="AG273" s="405"/>
      <c r="AH273" s="108"/>
      <c r="AI273" s="104"/>
      <c r="AJ273" s="103"/>
    </row>
    <row r="274" customFormat="false" ht="11.25" hidden="false" customHeight="false" outlineLevel="0" collapsed="false">
      <c r="R274" s="30"/>
      <c r="S274" s="30"/>
      <c r="T274" s="30"/>
      <c r="U274" s="30"/>
      <c r="AD274" s="123"/>
      <c r="AE274" s="381"/>
      <c r="AF274" s="108"/>
      <c r="AG274" s="186"/>
      <c r="AH274" s="108"/>
      <c r="AI274" s="104"/>
      <c r="AJ274" s="103"/>
    </row>
    <row r="275" customFormat="false" ht="11.25" hidden="false" customHeight="false" outlineLevel="0" collapsed="false">
      <c r="R275" s="30"/>
      <c r="S275" s="30"/>
      <c r="T275" s="30"/>
      <c r="U275" s="30"/>
      <c r="AD275" s="123"/>
      <c r="AE275" s="381"/>
      <c r="AF275" s="108"/>
      <c r="AG275" s="186"/>
      <c r="AH275" s="108"/>
      <c r="AI275" s="104"/>
      <c r="AJ275" s="103"/>
    </row>
    <row r="276" customFormat="false" ht="11.25" hidden="false" customHeight="false" outlineLevel="0" collapsed="false">
      <c r="R276" s="30"/>
      <c r="S276" s="30"/>
      <c r="T276" s="30"/>
      <c r="U276" s="30"/>
      <c r="AD276" s="123"/>
      <c r="AE276" s="381"/>
      <c r="AF276" s="186"/>
      <c r="AG276" s="186"/>
      <c r="AH276" s="108"/>
      <c r="AI276" s="104"/>
      <c r="AJ276" s="103"/>
      <c r="AO276" s="79"/>
    </row>
    <row r="277" customFormat="false" ht="11.25" hidden="false" customHeight="false" outlineLevel="0" collapsed="false">
      <c r="R277" s="30"/>
      <c r="S277" s="30"/>
      <c r="T277" s="30"/>
      <c r="U277" s="30"/>
      <c r="AD277" s="123"/>
      <c r="AE277" s="381"/>
      <c r="AF277" s="108"/>
      <c r="AG277" s="108"/>
      <c r="AH277" s="108"/>
      <c r="AI277" s="104"/>
      <c r="AJ277" s="103"/>
    </row>
    <row r="278" customFormat="false" ht="11.25" hidden="false" customHeight="false" outlineLevel="0" collapsed="false">
      <c r="R278" s="30"/>
      <c r="S278" s="30"/>
      <c r="T278" s="30"/>
      <c r="U278" s="30"/>
      <c r="AD278" s="123"/>
      <c r="AE278" s="381"/>
      <c r="AF278" s="404"/>
      <c r="AG278" s="154"/>
      <c r="AH278" s="108"/>
      <c r="AI278" s="104"/>
      <c r="AJ278" s="103"/>
    </row>
    <row r="279" customFormat="false" ht="11.25" hidden="false" customHeight="false" outlineLevel="0" collapsed="false">
      <c r="R279" s="30"/>
      <c r="S279" s="30"/>
      <c r="T279" s="30"/>
      <c r="U279" s="30"/>
      <c r="AD279" s="123"/>
      <c r="AE279" s="381"/>
      <c r="AF279" s="404"/>
      <c r="AG279" s="404"/>
      <c r="AH279" s="108"/>
      <c r="AI279" s="104"/>
      <c r="AJ279" s="103"/>
    </row>
    <row r="280" customFormat="false" ht="11.25" hidden="false" customHeight="false" outlineLevel="0" collapsed="false">
      <c r="R280" s="30"/>
      <c r="S280" s="30"/>
      <c r="T280" s="30"/>
      <c r="U280" s="30"/>
      <c r="AD280" s="123"/>
      <c r="AE280" s="381"/>
      <c r="AF280" s="404"/>
      <c r="AG280" s="404"/>
      <c r="AH280" s="108"/>
      <c r="AI280" s="104"/>
      <c r="AJ280" s="103"/>
    </row>
    <row r="281" customFormat="false" ht="11.25" hidden="false" customHeight="false" outlineLevel="0" collapsed="false">
      <c r="R281" s="30"/>
      <c r="S281" s="30"/>
      <c r="T281" s="30"/>
      <c r="U281" s="30"/>
      <c r="AD281" s="123"/>
      <c r="AE281" s="381"/>
      <c r="AF281" s="108"/>
      <c r="AG281" s="108"/>
      <c r="AH281" s="108"/>
      <c r="AI281" s="104"/>
      <c r="AJ281" s="103"/>
    </row>
    <row r="282" customFormat="false" ht="11.25" hidden="false" customHeight="false" outlineLevel="0" collapsed="false">
      <c r="R282" s="30"/>
      <c r="S282" s="30"/>
      <c r="T282" s="30"/>
      <c r="U282" s="30"/>
      <c r="AD282" s="123"/>
      <c r="AE282" s="381"/>
      <c r="AF282" s="108"/>
      <c r="AG282" s="108"/>
      <c r="AH282" s="108"/>
      <c r="AI282" s="104"/>
      <c r="AJ282" s="103"/>
    </row>
    <row r="283" customFormat="false" ht="11.25" hidden="false" customHeight="false" outlineLevel="0" collapsed="false">
      <c r="R283" s="30"/>
      <c r="S283" s="30"/>
      <c r="T283" s="30"/>
      <c r="U283" s="30"/>
      <c r="AD283" s="123"/>
      <c r="AE283" s="381"/>
      <c r="AF283" s="108"/>
      <c r="AG283" s="108"/>
      <c r="AH283" s="108"/>
      <c r="AI283" s="104"/>
      <c r="AJ283" s="103"/>
    </row>
    <row r="284" customFormat="false" ht="11.25" hidden="false" customHeight="false" outlineLevel="0" collapsed="false">
      <c r="R284" s="30"/>
      <c r="S284" s="30"/>
      <c r="T284" s="30"/>
      <c r="U284" s="30"/>
      <c r="AD284" s="123"/>
      <c r="AE284" s="381"/>
      <c r="AF284" s="108"/>
      <c r="AG284" s="108"/>
      <c r="AH284" s="108"/>
      <c r="AI284" s="104"/>
      <c r="AJ284" s="103"/>
    </row>
    <row r="285" customFormat="false" ht="11.25" hidden="false" customHeight="false" outlineLevel="0" collapsed="false">
      <c r="R285" s="30"/>
      <c r="S285" s="30"/>
      <c r="T285" s="30"/>
      <c r="U285" s="30"/>
      <c r="AD285" s="123"/>
      <c r="AE285" s="381"/>
      <c r="AF285" s="108"/>
      <c r="AG285" s="186"/>
      <c r="AH285" s="108"/>
      <c r="AI285" s="104"/>
      <c r="AJ285" s="103"/>
    </row>
    <row r="286" customFormat="false" ht="11.25" hidden="false" customHeight="false" outlineLevel="0" collapsed="false">
      <c r="R286" s="30"/>
      <c r="S286" s="30"/>
      <c r="T286" s="30"/>
      <c r="U286" s="30"/>
      <c r="AD286" s="123"/>
      <c r="AE286" s="381"/>
      <c r="AF286" s="108"/>
      <c r="AG286" s="108"/>
      <c r="AH286" s="108"/>
      <c r="AI286" s="104"/>
      <c r="AJ286" s="103"/>
    </row>
    <row r="287" customFormat="false" ht="11.25" hidden="false" customHeight="false" outlineLevel="0" collapsed="false">
      <c r="R287" s="30"/>
      <c r="S287" s="30"/>
      <c r="T287" s="30"/>
      <c r="U287" s="30"/>
      <c r="AD287" s="123"/>
      <c r="AE287" s="381"/>
      <c r="AF287" s="108"/>
      <c r="AG287" s="186"/>
      <c r="AH287" s="108"/>
      <c r="AI287" s="104"/>
      <c r="AJ287" s="103"/>
    </row>
    <row r="288" customFormat="false" ht="11.25" hidden="false" customHeight="false" outlineLevel="0" collapsed="false">
      <c r="R288" s="30"/>
      <c r="S288" s="30"/>
      <c r="T288" s="30"/>
      <c r="U288" s="30"/>
      <c r="AD288" s="123"/>
      <c r="AE288" s="381"/>
      <c r="AF288" s="108"/>
      <c r="AG288" s="186"/>
      <c r="AH288" s="108"/>
      <c r="AI288" s="104"/>
      <c r="AJ288" s="103"/>
    </row>
    <row r="289" customFormat="false" ht="11.25" hidden="false" customHeight="false" outlineLevel="0" collapsed="false">
      <c r="R289" s="30"/>
      <c r="S289" s="30"/>
      <c r="T289" s="30"/>
      <c r="U289" s="30"/>
      <c r="AD289" s="123"/>
      <c r="AE289" s="381"/>
      <c r="AF289" s="108"/>
      <c r="AG289" s="108"/>
      <c r="AH289" s="108"/>
      <c r="AI289" s="104"/>
      <c r="AJ289" s="103"/>
    </row>
    <row r="290" customFormat="false" ht="11.25" hidden="false" customHeight="false" outlineLevel="0" collapsed="false">
      <c r="R290" s="30"/>
      <c r="S290" s="30"/>
      <c r="T290" s="30"/>
      <c r="U290" s="30"/>
      <c r="AD290" s="123"/>
      <c r="AE290" s="381"/>
      <c r="AF290" s="108"/>
      <c r="AG290" s="108"/>
      <c r="AH290" s="108"/>
      <c r="AI290" s="104"/>
      <c r="AJ290" s="103"/>
    </row>
    <row r="291" customFormat="false" ht="11.25" hidden="false" customHeight="false" outlineLevel="0" collapsed="false">
      <c r="R291" s="30"/>
      <c r="S291" s="30"/>
      <c r="T291" s="30"/>
      <c r="U291" s="30"/>
      <c r="AD291" s="123"/>
      <c r="AE291" s="381"/>
      <c r="AF291" s="108"/>
      <c r="AG291" s="108"/>
      <c r="AH291" s="108"/>
      <c r="AI291" s="104"/>
      <c r="AJ291" s="103"/>
    </row>
    <row r="292" customFormat="false" ht="11.25" hidden="false" customHeight="false" outlineLevel="0" collapsed="false">
      <c r="R292" s="30"/>
      <c r="S292" s="30"/>
      <c r="T292" s="30"/>
      <c r="U292" s="30"/>
      <c r="AD292" s="123"/>
      <c r="AE292" s="381"/>
      <c r="AF292" s="108"/>
      <c r="AG292" s="108"/>
      <c r="AH292" s="108"/>
      <c r="AI292" s="104"/>
      <c r="AJ292" s="103"/>
      <c r="AO292" s="79"/>
    </row>
    <row r="293" customFormat="false" ht="11.25" hidden="false" customHeight="false" outlineLevel="0" collapsed="false">
      <c r="R293" s="30"/>
      <c r="S293" s="30"/>
      <c r="T293" s="30"/>
      <c r="U293" s="30"/>
      <c r="AD293" s="123"/>
      <c r="AE293" s="381"/>
      <c r="AF293" s="108"/>
      <c r="AG293" s="108"/>
      <c r="AH293" s="108"/>
      <c r="AI293" s="104"/>
      <c r="AJ293" s="103"/>
    </row>
    <row r="294" customFormat="false" ht="11.25" hidden="false" customHeight="false" outlineLevel="0" collapsed="false">
      <c r="R294" s="30"/>
      <c r="S294" s="30"/>
      <c r="T294" s="30"/>
      <c r="U294" s="30"/>
      <c r="AD294" s="123"/>
      <c r="AE294" s="381"/>
      <c r="AF294" s="108"/>
      <c r="AG294" s="108"/>
      <c r="AH294" s="108"/>
      <c r="AI294" s="104"/>
      <c r="AJ294" s="103"/>
    </row>
    <row r="295" customFormat="false" ht="11.25" hidden="false" customHeight="false" outlineLevel="0" collapsed="false">
      <c r="R295" s="30"/>
      <c r="S295" s="30"/>
      <c r="T295" s="30"/>
      <c r="U295" s="30"/>
      <c r="AD295" s="123"/>
      <c r="AE295" s="381"/>
      <c r="AF295" s="108"/>
      <c r="AG295" s="108"/>
      <c r="AH295" s="108"/>
      <c r="AI295" s="104"/>
      <c r="AJ295" s="103"/>
    </row>
    <row r="296" customFormat="false" ht="11.25" hidden="false" customHeight="false" outlineLevel="0" collapsed="false">
      <c r="R296" s="30"/>
      <c r="S296" s="30"/>
      <c r="T296" s="30"/>
      <c r="U296" s="30"/>
      <c r="AD296" s="123"/>
      <c r="AE296" s="381"/>
      <c r="AF296" s="108"/>
      <c r="AG296" s="108"/>
      <c r="AH296" s="108"/>
      <c r="AI296" s="104"/>
      <c r="AJ296" s="103"/>
    </row>
    <row r="297" customFormat="false" ht="11.25" hidden="false" customHeight="false" outlineLevel="0" collapsed="false">
      <c r="R297" s="30"/>
      <c r="S297" s="30"/>
      <c r="T297" s="30"/>
      <c r="U297" s="30"/>
      <c r="AD297" s="123"/>
      <c r="AE297" s="381"/>
      <c r="AF297" s="108"/>
      <c r="AG297" s="108"/>
      <c r="AH297" s="108"/>
      <c r="AI297" s="104"/>
      <c r="AJ297" s="103"/>
    </row>
    <row r="298" customFormat="false" ht="11.25" hidden="false" customHeight="false" outlineLevel="0" collapsed="false">
      <c r="R298" s="30"/>
      <c r="S298" s="30"/>
      <c r="T298" s="30"/>
      <c r="U298" s="30"/>
      <c r="AD298" s="123"/>
      <c r="AE298" s="381"/>
      <c r="AF298" s="108"/>
      <c r="AG298" s="108"/>
      <c r="AH298" s="108"/>
      <c r="AI298" s="104"/>
      <c r="AJ298" s="103"/>
    </row>
    <row r="299" customFormat="false" ht="11.25" hidden="false" customHeight="false" outlineLevel="0" collapsed="false">
      <c r="R299" s="30"/>
      <c r="S299" s="30"/>
      <c r="T299" s="30"/>
      <c r="U299" s="30"/>
      <c r="AD299" s="123"/>
      <c r="AE299" s="381"/>
      <c r="AF299" s="108"/>
      <c r="AG299" s="108"/>
      <c r="AH299" s="108"/>
      <c r="AI299" s="104"/>
      <c r="AJ299" s="103"/>
    </row>
    <row r="300" customFormat="false" ht="11.25" hidden="false" customHeight="false" outlineLevel="0" collapsed="false">
      <c r="R300" s="30"/>
      <c r="S300" s="30"/>
      <c r="T300" s="30"/>
      <c r="U300" s="30"/>
      <c r="AD300" s="123"/>
      <c r="AE300" s="381"/>
      <c r="AF300" s="108"/>
      <c r="AG300" s="108"/>
      <c r="AH300" s="108"/>
      <c r="AI300" s="104"/>
      <c r="AJ300" s="103"/>
    </row>
    <row r="301" customFormat="false" ht="11.25" hidden="false" customHeight="false" outlineLevel="0" collapsed="false">
      <c r="R301" s="30"/>
      <c r="S301" s="30"/>
      <c r="T301" s="30"/>
      <c r="U301" s="30"/>
      <c r="AD301" s="123"/>
      <c r="AE301" s="381"/>
      <c r="AF301" s="108"/>
      <c r="AG301" s="108"/>
      <c r="AH301" s="108"/>
      <c r="AI301" s="104"/>
      <c r="AJ301" s="103"/>
    </row>
    <row r="302" customFormat="false" ht="11.25" hidden="false" customHeight="false" outlineLevel="0" collapsed="false">
      <c r="R302" s="30"/>
      <c r="S302" s="30"/>
      <c r="T302" s="30"/>
      <c r="U302" s="30"/>
      <c r="AD302" s="123"/>
      <c r="AE302" s="381"/>
      <c r="AF302" s="108"/>
      <c r="AG302" s="108"/>
      <c r="AH302" s="108"/>
      <c r="AI302" s="104"/>
      <c r="AJ302" s="103"/>
    </row>
    <row r="303" customFormat="false" ht="11.25" hidden="false" customHeight="false" outlineLevel="0" collapsed="false">
      <c r="R303" s="30"/>
      <c r="S303" s="30"/>
      <c r="T303" s="30"/>
      <c r="U303" s="30"/>
      <c r="AD303" s="123"/>
      <c r="AE303" s="381"/>
      <c r="AF303" s="108"/>
      <c r="AG303" s="108"/>
      <c r="AH303" s="108"/>
      <c r="AI303" s="104"/>
      <c r="AJ303" s="103"/>
    </row>
    <row r="304" customFormat="false" ht="11.25" hidden="false" customHeight="false" outlineLevel="0" collapsed="false">
      <c r="R304" s="30"/>
      <c r="S304" s="30"/>
      <c r="T304" s="30"/>
      <c r="U304" s="30"/>
      <c r="AD304" s="123"/>
      <c r="AE304" s="381"/>
      <c r="AF304" s="108"/>
      <c r="AG304" s="108"/>
      <c r="AH304" s="108"/>
      <c r="AI304" s="104"/>
      <c r="AJ304" s="103"/>
    </row>
    <row r="305" customFormat="false" ht="11.25" hidden="false" customHeight="false" outlineLevel="0" collapsed="false">
      <c r="R305" s="30"/>
      <c r="S305" s="30"/>
      <c r="T305" s="30"/>
      <c r="U305" s="30"/>
      <c r="AD305" s="123"/>
      <c r="AE305" s="381"/>
      <c r="AF305" s="108"/>
      <c r="AG305" s="108"/>
      <c r="AH305" s="108"/>
      <c r="AI305" s="104"/>
      <c r="AJ305" s="103"/>
    </row>
    <row r="306" customFormat="false" ht="11.25" hidden="false" customHeight="false" outlineLevel="0" collapsed="false">
      <c r="R306" s="30"/>
      <c r="S306" s="30"/>
      <c r="T306" s="30"/>
      <c r="U306" s="30"/>
      <c r="AD306" s="123"/>
      <c r="AE306" s="381"/>
      <c r="AF306" s="108"/>
      <c r="AG306" s="108"/>
      <c r="AH306" s="108"/>
      <c r="AI306" s="104"/>
      <c r="AJ306" s="103"/>
    </row>
    <row r="307" customFormat="false" ht="11.25" hidden="false" customHeight="false" outlineLevel="0" collapsed="false">
      <c r="R307" s="30"/>
      <c r="S307" s="30"/>
      <c r="T307" s="30"/>
      <c r="U307" s="30"/>
      <c r="AD307" s="123"/>
      <c r="AE307" s="381"/>
      <c r="AF307" s="108"/>
      <c r="AG307" s="108"/>
      <c r="AH307" s="108"/>
      <c r="AI307" s="104"/>
      <c r="AJ307" s="103"/>
    </row>
    <row r="308" customFormat="false" ht="11.25" hidden="false" customHeight="false" outlineLevel="0" collapsed="false">
      <c r="R308" s="30"/>
      <c r="S308" s="30"/>
      <c r="T308" s="30"/>
      <c r="U308" s="30"/>
      <c r="AD308" s="123"/>
      <c r="AE308" s="381"/>
      <c r="AF308" s="108"/>
      <c r="AG308" s="108"/>
      <c r="AH308" s="108"/>
      <c r="AI308" s="104"/>
      <c r="AJ308" s="103"/>
    </row>
    <row r="309" customFormat="false" ht="11.25" hidden="false" customHeight="false" outlineLevel="0" collapsed="false">
      <c r="R309" s="30"/>
      <c r="S309" s="30"/>
      <c r="T309" s="30"/>
      <c r="U309" s="30"/>
      <c r="AD309" s="123"/>
      <c r="AE309" s="381"/>
      <c r="AF309" s="108"/>
      <c r="AG309" s="108"/>
      <c r="AH309" s="108"/>
      <c r="AI309" s="104"/>
      <c r="AJ309" s="103"/>
    </row>
    <row r="310" customFormat="false" ht="11.25" hidden="false" customHeight="false" outlineLevel="0" collapsed="false">
      <c r="R310" s="30"/>
      <c r="S310" s="30"/>
      <c r="T310" s="30"/>
      <c r="U310" s="30"/>
      <c r="AD310" s="123"/>
      <c r="AE310" s="381"/>
      <c r="AF310" s="108"/>
      <c r="AG310" s="108"/>
      <c r="AH310" s="108"/>
      <c r="AI310" s="104"/>
      <c r="AJ310" s="103"/>
    </row>
    <row r="311" customFormat="false" ht="11.25" hidden="false" customHeight="false" outlineLevel="0" collapsed="false">
      <c r="R311" s="30"/>
      <c r="S311" s="30"/>
      <c r="T311" s="30"/>
      <c r="U311" s="30"/>
      <c r="AD311" s="123"/>
      <c r="AE311" s="381"/>
      <c r="AF311" s="108"/>
      <c r="AG311" s="108"/>
      <c r="AH311" s="108"/>
      <c r="AI311" s="104"/>
      <c r="AJ311" s="103"/>
    </row>
    <row r="312" customFormat="false" ht="11.25" hidden="false" customHeight="false" outlineLevel="0" collapsed="false">
      <c r="R312" s="30"/>
      <c r="S312" s="30"/>
      <c r="T312" s="30"/>
      <c r="U312" s="30"/>
      <c r="AD312" s="123"/>
      <c r="AE312" s="381"/>
      <c r="AF312" s="108"/>
      <c r="AG312" s="108"/>
      <c r="AH312" s="108"/>
      <c r="AI312" s="104"/>
      <c r="AJ312" s="103"/>
    </row>
    <row r="313" customFormat="false" ht="11.25" hidden="false" customHeight="false" outlineLevel="0" collapsed="false">
      <c r="R313" s="30"/>
      <c r="S313" s="30"/>
      <c r="T313" s="30"/>
      <c r="U313" s="30"/>
      <c r="AD313" s="123"/>
      <c r="AE313" s="381"/>
      <c r="AF313" s="108"/>
      <c r="AG313" s="108"/>
      <c r="AH313" s="108"/>
      <c r="AI313" s="104"/>
      <c r="AJ313" s="103"/>
    </row>
    <row r="314" customFormat="false" ht="11.25" hidden="false" customHeight="false" outlineLevel="0" collapsed="false">
      <c r="R314" s="30"/>
      <c r="S314" s="30"/>
      <c r="T314" s="30"/>
      <c r="U314" s="30"/>
      <c r="AD314" s="123"/>
      <c r="AE314" s="381"/>
      <c r="AF314" s="108"/>
      <c r="AG314" s="108"/>
      <c r="AH314" s="108"/>
      <c r="AI314" s="104"/>
      <c r="AJ314" s="103"/>
    </row>
    <row r="315" customFormat="false" ht="11.25" hidden="false" customHeight="false" outlineLevel="0" collapsed="false">
      <c r="R315" s="30"/>
      <c r="S315" s="30"/>
      <c r="T315" s="30"/>
      <c r="U315" s="30"/>
      <c r="AD315" s="123"/>
      <c r="AE315" s="381"/>
      <c r="AF315" s="108"/>
      <c r="AG315" s="108"/>
      <c r="AH315" s="108"/>
      <c r="AI315" s="104"/>
      <c r="AJ315" s="103"/>
    </row>
    <row r="316" customFormat="false" ht="11.25" hidden="false" customHeight="false" outlineLevel="0" collapsed="false">
      <c r="R316" s="30"/>
      <c r="S316" s="30"/>
      <c r="T316" s="30"/>
      <c r="U316" s="30"/>
      <c r="AD316" s="123"/>
      <c r="AE316" s="381"/>
      <c r="AF316" s="108"/>
      <c r="AG316" s="108"/>
      <c r="AH316" s="108"/>
      <c r="AI316" s="104"/>
      <c r="AJ316" s="103"/>
    </row>
    <row r="317" customFormat="false" ht="11.25" hidden="false" customHeight="false" outlineLevel="0" collapsed="false">
      <c r="R317" s="30"/>
      <c r="S317" s="30"/>
      <c r="T317" s="30"/>
      <c r="U317" s="30"/>
      <c r="AD317" s="123"/>
      <c r="AE317" s="381"/>
      <c r="AF317" s="108"/>
      <c r="AG317" s="108"/>
      <c r="AH317" s="108"/>
      <c r="AI317" s="104"/>
      <c r="AJ317" s="103"/>
    </row>
    <row r="318" customFormat="false" ht="11.25" hidden="false" customHeight="false" outlineLevel="0" collapsed="false">
      <c r="R318" s="30"/>
      <c r="S318" s="30"/>
      <c r="T318" s="30"/>
      <c r="U318" s="30"/>
      <c r="AD318" s="123"/>
      <c r="AE318" s="381"/>
      <c r="AF318" s="108"/>
      <c r="AG318" s="108"/>
      <c r="AH318" s="108"/>
      <c r="AI318" s="104"/>
      <c r="AJ318" s="103"/>
    </row>
    <row r="319" customFormat="false" ht="11.25" hidden="false" customHeight="false" outlineLevel="0" collapsed="false">
      <c r="R319" s="30"/>
      <c r="S319" s="30"/>
      <c r="T319" s="30"/>
      <c r="U319" s="30"/>
      <c r="AD319" s="123"/>
      <c r="AE319" s="381"/>
      <c r="AF319" s="108"/>
      <c r="AG319" s="108"/>
      <c r="AH319" s="108"/>
      <c r="AI319" s="104"/>
      <c r="AJ319" s="103"/>
    </row>
    <row r="320" customFormat="false" ht="11.25" hidden="false" customHeight="false" outlineLevel="0" collapsed="false">
      <c r="R320" s="30"/>
      <c r="S320" s="30"/>
      <c r="T320" s="30"/>
      <c r="U320" s="30"/>
      <c r="AD320" s="123"/>
      <c r="AE320" s="381"/>
      <c r="AF320" s="108"/>
      <c r="AG320" s="108"/>
      <c r="AH320" s="108"/>
      <c r="AI320" s="104"/>
      <c r="AJ320" s="103"/>
    </row>
    <row r="321" customFormat="false" ht="11.25" hidden="false" customHeight="false" outlineLevel="0" collapsed="false">
      <c r="R321" s="30"/>
      <c r="S321" s="30"/>
      <c r="T321" s="30"/>
      <c r="U321" s="30"/>
      <c r="AD321" s="123"/>
      <c r="AE321" s="381"/>
      <c r="AF321" s="108"/>
      <c r="AG321" s="108"/>
      <c r="AH321" s="108"/>
      <c r="AI321" s="104"/>
      <c r="AJ321" s="103"/>
    </row>
    <row r="322" customFormat="false" ht="11.25" hidden="false" customHeight="false" outlineLevel="0" collapsed="false">
      <c r="R322" s="30"/>
      <c r="S322" s="30"/>
      <c r="T322" s="30"/>
      <c r="U322" s="30"/>
      <c r="AD322" s="123"/>
      <c r="AE322" s="381"/>
      <c r="AF322" s="108"/>
      <c r="AG322" s="108"/>
      <c r="AH322" s="108"/>
      <c r="AI322" s="104"/>
      <c r="AJ322" s="103"/>
    </row>
    <row r="323" customFormat="false" ht="11.25" hidden="false" customHeight="false" outlineLevel="0" collapsed="false">
      <c r="R323" s="30"/>
      <c r="S323" s="30"/>
      <c r="T323" s="30"/>
      <c r="U323" s="30"/>
      <c r="AD323" s="123"/>
      <c r="AE323" s="381"/>
      <c r="AF323" s="108"/>
      <c r="AG323" s="108"/>
      <c r="AH323" s="108"/>
      <c r="AI323" s="104"/>
      <c r="AJ323" s="103"/>
    </row>
    <row r="324" customFormat="false" ht="11.25" hidden="false" customHeight="false" outlineLevel="0" collapsed="false">
      <c r="R324" s="30"/>
      <c r="S324" s="30"/>
      <c r="T324" s="30"/>
      <c r="U324" s="30"/>
      <c r="AD324" s="123"/>
      <c r="AE324" s="381"/>
      <c r="AF324" s="108"/>
      <c r="AG324" s="108"/>
      <c r="AH324" s="108"/>
      <c r="AI324" s="104"/>
      <c r="AJ324" s="103"/>
    </row>
    <row r="325" customFormat="false" ht="11.25" hidden="false" customHeight="false" outlineLevel="0" collapsed="false">
      <c r="R325" s="30"/>
      <c r="S325" s="30"/>
      <c r="T325" s="30"/>
      <c r="U325" s="30"/>
      <c r="AD325" s="123"/>
      <c r="AE325" s="381"/>
      <c r="AF325" s="108"/>
      <c r="AG325" s="108"/>
      <c r="AH325" s="108"/>
      <c r="AI325" s="104"/>
      <c r="AJ325" s="103"/>
    </row>
    <row r="326" customFormat="false" ht="11.25" hidden="false" customHeight="false" outlineLevel="0" collapsed="false">
      <c r="R326" s="30"/>
      <c r="S326" s="30"/>
      <c r="T326" s="30"/>
      <c r="U326" s="30"/>
      <c r="AD326" s="123"/>
      <c r="AE326" s="381"/>
      <c r="AF326" s="108"/>
      <c r="AG326" s="108"/>
      <c r="AH326" s="108"/>
      <c r="AI326" s="104"/>
      <c r="AJ326" s="103"/>
    </row>
    <row r="327" customFormat="false" ht="11.25" hidden="false" customHeight="false" outlineLevel="0" collapsed="false">
      <c r="R327" s="30"/>
      <c r="S327" s="30"/>
      <c r="T327" s="30"/>
      <c r="U327" s="30"/>
      <c r="AD327" s="123"/>
      <c r="AE327" s="381"/>
      <c r="AF327" s="108"/>
      <c r="AG327" s="108"/>
      <c r="AH327" s="108"/>
      <c r="AI327" s="104"/>
      <c r="AJ327" s="103"/>
    </row>
    <row r="328" customFormat="false" ht="11.25" hidden="false" customHeight="false" outlineLevel="0" collapsed="false">
      <c r="R328" s="30"/>
      <c r="S328" s="30"/>
      <c r="T328" s="30"/>
      <c r="U328" s="30"/>
      <c r="AD328" s="123"/>
      <c r="AE328" s="381"/>
      <c r="AF328" s="108"/>
      <c r="AG328" s="108"/>
      <c r="AH328" s="108"/>
      <c r="AI328" s="104"/>
      <c r="AJ328" s="103"/>
    </row>
    <row r="329" customFormat="false" ht="11.25" hidden="false" customHeight="false" outlineLevel="0" collapsed="false">
      <c r="R329" s="30"/>
      <c r="S329" s="30"/>
      <c r="T329" s="30"/>
      <c r="U329" s="30"/>
      <c r="AD329" s="123"/>
      <c r="AE329" s="381"/>
      <c r="AF329" s="108"/>
      <c r="AG329" s="108"/>
      <c r="AH329" s="108"/>
      <c r="AI329" s="104"/>
      <c r="AJ329" s="103"/>
    </row>
    <row r="330" customFormat="false" ht="11.25" hidden="false" customHeight="false" outlineLevel="0" collapsed="false">
      <c r="R330" s="30"/>
      <c r="S330" s="30"/>
      <c r="T330" s="30"/>
      <c r="U330" s="30"/>
      <c r="AD330" s="123"/>
      <c r="AE330" s="381"/>
      <c r="AF330" s="108"/>
      <c r="AG330" s="108"/>
      <c r="AH330" s="108"/>
      <c r="AI330" s="104"/>
      <c r="AJ330" s="103"/>
    </row>
    <row r="331" customFormat="false" ht="11.25" hidden="false" customHeight="false" outlineLevel="0" collapsed="false">
      <c r="R331" s="30"/>
      <c r="S331" s="30"/>
      <c r="T331" s="30"/>
      <c r="U331" s="30"/>
      <c r="AD331" s="123"/>
      <c r="AE331" s="381"/>
      <c r="AF331" s="108"/>
      <c r="AG331" s="108"/>
      <c r="AH331" s="108"/>
      <c r="AI331" s="104"/>
      <c r="AJ331" s="103"/>
    </row>
    <row r="332" customFormat="false" ht="11.25" hidden="false" customHeight="false" outlineLevel="0" collapsed="false">
      <c r="R332" s="30"/>
      <c r="S332" s="30"/>
      <c r="T332" s="30"/>
      <c r="U332" s="30"/>
      <c r="AD332" s="123"/>
      <c r="AE332" s="381"/>
      <c r="AF332" s="108"/>
      <c r="AG332" s="108"/>
      <c r="AH332" s="108"/>
      <c r="AI332" s="104"/>
      <c r="AJ332" s="103"/>
    </row>
    <row r="333" customFormat="false" ht="11.25" hidden="false" customHeight="false" outlineLevel="0" collapsed="false">
      <c r="R333" s="30"/>
      <c r="S333" s="30"/>
      <c r="T333" s="30"/>
      <c r="U333" s="30"/>
      <c r="AD333" s="123"/>
      <c r="AE333" s="381"/>
      <c r="AF333" s="108"/>
      <c r="AG333" s="108"/>
      <c r="AH333" s="108"/>
      <c r="AI333" s="104"/>
      <c r="AJ333" s="103"/>
    </row>
    <row r="334" customFormat="false" ht="11.25" hidden="false" customHeight="false" outlineLevel="0" collapsed="false">
      <c r="R334" s="30"/>
      <c r="S334" s="30"/>
      <c r="T334" s="30"/>
      <c r="U334" s="30"/>
      <c r="AD334" s="123"/>
      <c r="AE334" s="381"/>
      <c r="AF334" s="108"/>
      <c r="AG334" s="108"/>
      <c r="AH334" s="108"/>
      <c r="AI334" s="104"/>
      <c r="AJ334" s="103"/>
    </row>
    <row r="335" customFormat="false" ht="11.25" hidden="false" customHeight="false" outlineLevel="0" collapsed="false">
      <c r="R335" s="30"/>
      <c r="S335" s="30"/>
      <c r="T335" s="30"/>
      <c r="U335" s="30"/>
      <c r="AD335" s="123"/>
      <c r="AE335" s="381"/>
      <c r="AF335" s="108"/>
      <c r="AG335" s="108"/>
      <c r="AH335" s="108"/>
      <c r="AI335" s="104"/>
      <c r="AJ335" s="103"/>
    </row>
    <row r="336" customFormat="false" ht="11.25" hidden="false" customHeight="false" outlineLevel="0" collapsed="false">
      <c r="R336" s="30"/>
      <c r="S336" s="30"/>
      <c r="T336" s="30"/>
      <c r="U336" s="30"/>
      <c r="AD336" s="123"/>
      <c r="AE336" s="381"/>
      <c r="AF336" s="108"/>
      <c r="AG336" s="108"/>
      <c r="AH336" s="108"/>
      <c r="AI336" s="104"/>
      <c r="AJ336" s="103"/>
    </row>
    <row r="337" customFormat="false" ht="11.25" hidden="false" customHeight="false" outlineLevel="0" collapsed="false">
      <c r="R337" s="30"/>
      <c r="S337" s="30"/>
      <c r="T337" s="30"/>
      <c r="U337" s="30"/>
      <c r="AD337" s="123"/>
      <c r="AE337" s="381"/>
      <c r="AF337" s="108"/>
      <c r="AG337" s="108"/>
      <c r="AH337" s="108"/>
      <c r="AI337" s="104"/>
      <c r="AJ337" s="103"/>
    </row>
    <row r="338" customFormat="false" ht="11.25" hidden="false" customHeight="false" outlineLevel="0" collapsed="false">
      <c r="R338" s="30"/>
      <c r="S338" s="30"/>
      <c r="T338" s="30"/>
      <c r="U338" s="30"/>
      <c r="AD338" s="123"/>
      <c r="AE338" s="381"/>
      <c r="AF338" s="108"/>
      <c r="AG338" s="108"/>
      <c r="AH338" s="108"/>
      <c r="AI338" s="104"/>
      <c r="AJ338" s="103"/>
    </row>
    <row r="339" customFormat="false" ht="11.25" hidden="false" customHeight="false" outlineLevel="0" collapsed="false">
      <c r="R339" s="30"/>
      <c r="S339" s="30"/>
      <c r="T339" s="30"/>
      <c r="U339" s="30"/>
      <c r="AD339" s="123"/>
      <c r="AE339" s="381"/>
      <c r="AF339" s="108"/>
      <c r="AG339" s="108"/>
      <c r="AH339" s="108"/>
      <c r="AI339" s="104"/>
      <c r="AJ339" s="103"/>
    </row>
    <row r="340" customFormat="false" ht="11.25" hidden="false" customHeight="false" outlineLevel="0" collapsed="false">
      <c r="R340" s="30"/>
      <c r="S340" s="30"/>
      <c r="T340" s="30"/>
      <c r="U340" s="30"/>
      <c r="AD340" s="123"/>
      <c r="AE340" s="381"/>
      <c r="AF340" s="108"/>
      <c r="AG340" s="108"/>
      <c r="AH340" s="108"/>
      <c r="AI340" s="104"/>
      <c r="AJ340" s="103"/>
    </row>
    <row r="341" customFormat="false" ht="11.25" hidden="false" customHeight="false" outlineLevel="0" collapsed="false">
      <c r="R341" s="30"/>
      <c r="S341" s="30"/>
      <c r="T341" s="30"/>
      <c r="U341" s="30"/>
      <c r="AD341" s="123"/>
      <c r="AE341" s="381"/>
      <c r="AF341" s="108"/>
      <c r="AG341" s="108"/>
      <c r="AH341" s="108"/>
      <c r="AI341" s="104"/>
      <c r="AJ341" s="103"/>
    </row>
    <row r="342" customFormat="false" ht="11.25" hidden="false" customHeight="false" outlineLevel="0" collapsed="false">
      <c r="R342" s="30"/>
      <c r="S342" s="30"/>
      <c r="T342" s="30"/>
      <c r="U342" s="30"/>
      <c r="AD342" s="123"/>
      <c r="AE342" s="381"/>
      <c r="AF342" s="108"/>
      <c r="AG342" s="108"/>
      <c r="AH342" s="108"/>
      <c r="AI342" s="104"/>
      <c r="AJ342" s="103"/>
    </row>
    <row r="343" customFormat="false" ht="11.25" hidden="false" customHeight="false" outlineLevel="0" collapsed="false">
      <c r="R343" s="30"/>
      <c r="S343" s="30"/>
      <c r="T343" s="30"/>
      <c r="U343" s="30"/>
      <c r="AD343" s="123"/>
      <c r="AE343" s="381"/>
      <c r="AF343" s="108"/>
      <c r="AG343" s="108"/>
      <c r="AH343" s="108"/>
      <c r="AI343" s="104"/>
      <c r="AJ343" s="103"/>
    </row>
    <row r="344" customFormat="false" ht="11.25" hidden="false" customHeight="false" outlineLevel="0" collapsed="false">
      <c r="R344" s="30"/>
      <c r="S344" s="30"/>
      <c r="T344" s="30"/>
      <c r="U344" s="30"/>
      <c r="AD344" s="123"/>
      <c r="AE344" s="381"/>
      <c r="AF344" s="108"/>
      <c r="AG344" s="108"/>
      <c r="AH344" s="108"/>
      <c r="AI344" s="104"/>
      <c r="AJ344" s="103"/>
    </row>
    <row r="345" customFormat="false" ht="11.25" hidden="false" customHeight="false" outlineLevel="0" collapsed="false">
      <c r="R345" s="30"/>
      <c r="S345" s="30"/>
      <c r="T345" s="30"/>
      <c r="U345" s="30"/>
      <c r="AD345" s="123"/>
      <c r="AE345" s="381"/>
      <c r="AF345" s="108"/>
      <c r="AG345" s="108"/>
      <c r="AH345" s="108"/>
      <c r="AI345" s="104"/>
      <c r="AJ345" s="103"/>
    </row>
    <row r="346" customFormat="false" ht="11.25" hidden="false" customHeight="false" outlineLevel="0" collapsed="false">
      <c r="R346" s="30"/>
      <c r="S346" s="30"/>
      <c r="T346" s="30"/>
      <c r="U346" s="30"/>
      <c r="AD346" s="123"/>
      <c r="AE346" s="381"/>
      <c r="AF346" s="108"/>
      <c r="AG346" s="108"/>
      <c r="AH346" s="108"/>
      <c r="AI346" s="104"/>
      <c r="AJ346" s="103"/>
    </row>
    <row r="347" customFormat="false" ht="11.25" hidden="false" customHeight="false" outlineLevel="0" collapsed="false">
      <c r="R347" s="30"/>
      <c r="S347" s="30"/>
      <c r="T347" s="30"/>
      <c r="U347" s="30"/>
      <c r="AD347" s="123"/>
      <c r="AE347" s="381"/>
      <c r="AF347" s="108"/>
      <c r="AG347" s="108"/>
      <c r="AH347" s="108"/>
      <c r="AI347" s="104"/>
      <c r="AJ347" s="103"/>
    </row>
    <row r="348" customFormat="false" ht="11.25" hidden="false" customHeight="false" outlineLevel="0" collapsed="false">
      <c r="R348" s="30"/>
      <c r="S348" s="30"/>
      <c r="T348" s="30"/>
      <c r="U348" s="30"/>
      <c r="AD348" s="123"/>
      <c r="AE348" s="381"/>
      <c r="AF348" s="108"/>
      <c r="AG348" s="108"/>
      <c r="AH348" s="108"/>
      <c r="AI348" s="104"/>
      <c r="AJ348" s="103"/>
    </row>
    <row r="349" customFormat="false" ht="11.25" hidden="false" customHeight="false" outlineLevel="0" collapsed="false">
      <c r="R349" s="30"/>
      <c r="S349" s="30"/>
      <c r="T349" s="30"/>
      <c r="U349" s="30"/>
      <c r="AD349" s="123"/>
      <c r="AE349" s="381"/>
      <c r="AF349" s="108"/>
      <c r="AG349" s="108"/>
      <c r="AH349" s="108"/>
      <c r="AI349" s="104"/>
      <c r="AJ349" s="103"/>
    </row>
    <row r="350" customFormat="false" ht="11.25" hidden="false" customHeight="false" outlineLevel="0" collapsed="false">
      <c r="R350" s="30"/>
      <c r="S350" s="30"/>
      <c r="T350" s="30"/>
      <c r="U350" s="30"/>
      <c r="AD350" s="123"/>
      <c r="AE350" s="381"/>
      <c r="AF350" s="108"/>
      <c r="AG350" s="108"/>
      <c r="AH350" s="108"/>
      <c r="AI350" s="104"/>
      <c r="AJ350" s="103"/>
    </row>
    <row r="351" customFormat="false" ht="11.25" hidden="false" customHeight="false" outlineLevel="0" collapsed="false">
      <c r="R351" s="30"/>
      <c r="S351" s="30"/>
      <c r="T351" s="30"/>
      <c r="U351" s="30"/>
      <c r="AD351" s="123"/>
      <c r="AE351" s="381"/>
      <c r="AF351" s="108"/>
      <c r="AG351" s="108"/>
      <c r="AH351" s="108"/>
      <c r="AI351" s="104"/>
      <c r="AJ351" s="103"/>
    </row>
    <row r="352" customFormat="false" ht="11.25" hidden="false" customHeight="false" outlineLevel="0" collapsed="false">
      <c r="R352" s="30"/>
      <c r="S352" s="30"/>
      <c r="T352" s="30"/>
      <c r="U352" s="30"/>
      <c r="AD352" s="123"/>
      <c r="AE352" s="381"/>
      <c r="AF352" s="108"/>
      <c r="AG352" s="108"/>
      <c r="AH352" s="108"/>
      <c r="AI352" s="104"/>
      <c r="AJ352" s="103"/>
    </row>
    <row r="353" customFormat="false" ht="11.25" hidden="false" customHeight="false" outlineLevel="0" collapsed="false">
      <c r="R353" s="30"/>
      <c r="S353" s="30"/>
      <c r="T353" s="30"/>
      <c r="U353" s="30"/>
      <c r="AD353" s="123"/>
      <c r="AE353" s="381"/>
      <c r="AF353" s="108"/>
      <c r="AG353" s="108"/>
      <c r="AH353" s="108"/>
      <c r="AI353" s="104"/>
      <c r="AJ353" s="103"/>
    </row>
    <row r="354" customFormat="false" ht="11.25" hidden="false" customHeight="false" outlineLevel="0" collapsed="false">
      <c r="R354" s="30"/>
      <c r="S354" s="30"/>
      <c r="T354" s="30"/>
      <c r="U354" s="30"/>
      <c r="AD354" s="123"/>
      <c r="AE354" s="381"/>
      <c r="AF354" s="108"/>
      <c r="AG354" s="108"/>
      <c r="AH354" s="108"/>
      <c r="AI354" s="104"/>
      <c r="AJ354" s="103"/>
    </row>
    <row r="355" customFormat="false" ht="11.25" hidden="false" customHeight="false" outlineLevel="0" collapsed="false">
      <c r="R355" s="30"/>
      <c r="S355" s="30"/>
      <c r="T355" s="30"/>
      <c r="U355" s="30"/>
      <c r="AD355" s="123"/>
      <c r="AE355" s="381"/>
      <c r="AF355" s="108"/>
      <c r="AG355" s="108"/>
      <c r="AH355" s="108"/>
      <c r="AI355" s="104"/>
      <c r="AJ355" s="103"/>
    </row>
    <row r="356" customFormat="false" ht="11.25" hidden="false" customHeight="false" outlineLevel="0" collapsed="false">
      <c r="R356" s="30"/>
      <c r="S356" s="30"/>
      <c r="T356" s="30"/>
      <c r="U356" s="30"/>
      <c r="AD356" s="391"/>
      <c r="AE356" s="381"/>
      <c r="AF356" s="108"/>
      <c r="AG356" s="108"/>
      <c r="AH356" s="108"/>
      <c r="AI356" s="104"/>
      <c r="AJ356" s="103"/>
    </row>
    <row r="357" customFormat="false" ht="11.25" hidden="false" customHeight="false" outlineLevel="0" collapsed="false">
      <c r="R357" s="30"/>
      <c r="S357" s="30"/>
      <c r="T357" s="30"/>
      <c r="U357" s="30"/>
      <c r="AD357" s="123"/>
      <c r="AE357" s="381"/>
      <c r="AF357" s="108"/>
      <c r="AG357" s="108"/>
      <c r="AH357" s="108"/>
      <c r="AI357" s="104"/>
      <c r="AJ357" s="103"/>
    </row>
    <row r="358" customFormat="false" ht="11.25" hidden="false" customHeight="false" outlineLevel="0" collapsed="false">
      <c r="R358" s="30"/>
      <c r="S358" s="30"/>
      <c r="T358" s="30"/>
      <c r="U358" s="30"/>
      <c r="AD358" s="123"/>
      <c r="AE358" s="381"/>
      <c r="AF358" s="108"/>
      <c r="AG358" s="108"/>
      <c r="AH358" s="108"/>
      <c r="AI358" s="104"/>
      <c r="AJ358" s="103"/>
    </row>
    <row r="359" customFormat="false" ht="11.25" hidden="false" customHeight="false" outlineLevel="0" collapsed="false">
      <c r="R359" s="30"/>
      <c r="S359" s="30"/>
      <c r="T359" s="30"/>
      <c r="U359" s="30"/>
      <c r="AD359" s="123"/>
      <c r="AE359" s="381"/>
      <c r="AF359" s="108"/>
      <c r="AG359" s="108"/>
      <c r="AH359" s="108"/>
      <c r="AI359" s="104"/>
      <c r="AJ359" s="103"/>
    </row>
    <row r="360" customFormat="false" ht="11.25" hidden="false" customHeight="false" outlineLevel="0" collapsed="false">
      <c r="R360" s="30"/>
      <c r="S360" s="30"/>
      <c r="T360" s="30"/>
      <c r="U360" s="30"/>
      <c r="AD360" s="123"/>
      <c r="AE360" s="381"/>
      <c r="AF360" s="108"/>
      <c r="AG360" s="108"/>
      <c r="AH360" s="108"/>
      <c r="AI360" s="104"/>
      <c r="AJ360" s="103"/>
    </row>
    <row r="361" customFormat="false" ht="11.25" hidden="false" customHeight="false" outlineLevel="0" collapsed="false">
      <c r="R361" s="30"/>
      <c r="S361" s="30"/>
      <c r="T361" s="30"/>
      <c r="U361" s="30"/>
      <c r="AD361" s="123"/>
      <c r="AE361" s="381"/>
      <c r="AF361" s="108"/>
      <c r="AG361" s="108"/>
      <c r="AH361" s="108"/>
      <c r="AI361" s="104"/>
      <c r="AJ361" s="103"/>
    </row>
    <row r="362" customFormat="false" ht="11.25" hidden="false" customHeight="false" outlineLevel="0" collapsed="false">
      <c r="R362" s="30"/>
      <c r="S362" s="30"/>
      <c r="T362" s="30"/>
      <c r="U362" s="30"/>
      <c r="AD362" s="123"/>
      <c r="AE362" s="381"/>
      <c r="AF362" s="108"/>
      <c r="AG362" s="108"/>
      <c r="AH362" s="108"/>
      <c r="AI362" s="104"/>
      <c r="AJ362" s="103"/>
    </row>
    <row r="363" customFormat="false" ht="11.25" hidden="false" customHeight="false" outlineLevel="0" collapsed="false">
      <c r="R363" s="30"/>
      <c r="S363" s="30"/>
      <c r="T363" s="30"/>
      <c r="U363" s="30"/>
      <c r="AD363" s="123"/>
      <c r="AE363" s="381"/>
      <c r="AF363" s="108"/>
      <c r="AG363" s="108"/>
      <c r="AH363" s="108"/>
      <c r="AI363" s="104"/>
      <c r="AJ363" s="103"/>
    </row>
    <row r="364" customFormat="false" ht="11.25" hidden="false" customHeight="false" outlineLevel="0" collapsed="false">
      <c r="R364" s="30"/>
      <c r="S364" s="30"/>
      <c r="T364" s="30"/>
      <c r="U364" s="30"/>
      <c r="AD364" s="123"/>
      <c r="AE364" s="381"/>
      <c r="AF364" s="108"/>
      <c r="AG364" s="108"/>
      <c r="AH364" s="108"/>
      <c r="AI364" s="104"/>
      <c r="AJ364" s="103"/>
    </row>
    <row r="365" customFormat="false" ht="11.25" hidden="false" customHeight="false" outlineLevel="0" collapsed="false">
      <c r="R365" s="30"/>
      <c r="S365" s="30"/>
      <c r="T365" s="30"/>
      <c r="U365" s="30"/>
      <c r="AD365" s="123"/>
      <c r="AE365" s="381"/>
      <c r="AF365" s="108"/>
      <c r="AG365" s="108"/>
      <c r="AH365" s="108"/>
      <c r="AI365" s="104"/>
      <c r="AJ365" s="103"/>
    </row>
    <row r="366" customFormat="false" ht="11.25" hidden="false" customHeight="false" outlineLevel="0" collapsed="false">
      <c r="R366" s="30"/>
      <c r="S366" s="30"/>
      <c r="T366" s="30"/>
      <c r="U366" s="30"/>
      <c r="AD366" s="123"/>
      <c r="AE366" s="381"/>
      <c r="AF366" s="108"/>
      <c r="AG366" s="108"/>
      <c r="AH366" s="108"/>
      <c r="AI366" s="104"/>
      <c r="AJ366" s="103"/>
    </row>
    <row r="367" customFormat="false" ht="11.25" hidden="false" customHeight="false" outlineLevel="0" collapsed="false">
      <c r="R367" s="30"/>
      <c r="S367" s="30"/>
      <c r="T367" s="30"/>
      <c r="U367" s="30"/>
      <c r="AD367" s="123"/>
      <c r="AE367" s="381"/>
      <c r="AF367" s="108"/>
      <c r="AG367" s="108"/>
      <c r="AH367" s="108"/>
      <c r="AI367" s="104"/>
      <c r="AJ367" s="103"/>
    </row>
    <row r="368" customFormat="false" ht="11.25" hidden="false" customHeight="false" outlineLevel="0" collapsed="false">
      <c r="R368" s="30"/>
      <c r="S368" s="30"/>
      <c r="T368" s="30"/>
      <c r="U368" s="30"/>
      <c r="AD368" s="123"/>
      <c r="AE368" s="381"/>
      <c r="AF368" s="108"/>
      <c r="AG368" s="108"/>
      <c r="AH368" s="108"/>
      <c r="AI368" s="104"/>
      <c r="AJ368" s="103"/>
    </row>
    <row r="369" customFormat="false" ht="11.25" hidden="false" customHeight="false" outlineLevel="0" collapsed="false">
      <c r="R369" s="30"/>
      <c r="S369" s="30"/>
      <c r="T369" s="30"/>
      <c r="U369" s="30"/>
      <c r="AD369" s="123"/>
      <c r="AE369" s="381"/>
      <c r="AF369" s="108"/>
      <c r="AG369" s="108"/>
      <c r="AH369" s="108"/>
      <c r="AI369" s="104"/>
      <c r="AJ369" s="103"/>
    </row>
    <row r="370" customFormat="false" ht="11.25" hidden="false" customHeight="false" outlineLevel="0" collapsed="false">
      <c r="R370" s="30"/>
      <c r="S370" s="30"/>
      <c r="T370" s="30"/>
      <c r="U370" s="30"/>
      <c r="AD370" s="123"/>
      <c r="AE370" s="381"/>
      <c r="AF370" s="108"/>
      <c r="AG370" s="108"/>
      <c r="AH370" s="108"/>
      <c r="AI370" s="104"/>
      <c r="AJ370" s="103"/>
    </row>
    <row r="371" customFormat="false" ht="11.25" hidden="false" customHeight="false" outlineLevel="0" collapsed="false">
      <c r="R371" s="30"/>
      <c r="S371" s="30"/>
      <c r="T371" s="30"/>
      <c r="U371" s="30"/>
      <c r="AD371" s="123"/>
      <c r="AE371" s="381"/>
      <c r="AF371" s="108"/>
      <c r="AG371" s="108"/>
      <c r="AH371" s="108"/>
      <c r="AI371" s="104"/>
      <c r="AJ371" s="103"/>
    </row>
    <row r="372" customFormat="false" ht="11.25" hidden="false" customHeight="false" outlineLevel="0" collapsed="false">
      <c r="R372" s="30"/>
      <c r="S372" s="30"/>
      <c r="T372" s="30"/>
      <c r="U372" s="30"/>
      <c r="AD372" s="123"/>
      <c r="AE372" s="381"/>
      <c r="AF372" s="108"/>
      <c r="AG372" s="108"/>
      <c r="AH372" s="108"/>
      <c r="AI372" s="104"/>
      <c r="AJ372" s="103"/>
    </row>
    <row r="373" customFormat="false" ht="11.25" hidden="false" customHeight="false" outlineLevel="0" collapsed="false">
      <c r="R373" s="30"/>
      <c r="S373" s="30"/>
      <c r="T373" s="30"/>
      <c r="U373" s="30"/>
      <c r="AD373" s="185"/>
      <c r="AE373" s="381"/>
      <c r="AF373" s="108"/>
      <c r="AG373" s="108"/>
      <c r="AH373" s="108"/>
      <c r="AI373" s="104"/>
      <c r="AJ373" s="103"/>
    </row>
    <row r="374" customFormat="false" ht="11.25" hidden="false" customHeight="false" outlineLevel="0" collapsed="false">
      <c r="R374" s="30"/>
      <c r="S374" s="30"/>
      <c r="T374" s="30"/>
      <c r="U374" s="30"/>
      <c r="AD374" s="123"/>
      <c r="AE374" s="381"/>
      <c r="AF374" s="108"/>
      <c r="AG374" s="108"/>
      <c r="AH374" s="108"/>
      <c r="AI374" s="104"/>
      <c r="AJ374" s="103"/>
    </row>
    <row r="375" customFormat="false" ht="11.25" hidden="false" customHeight="false" outlineLevel="0" collapsed="false">
      <c r="R375" s="30"/>
      <c r="S375" s="30"/>
      <c r="T375" s="30"/>
      <c r="U375" s="30"/>
      <c r="AD375" s="391"/>
      <c r="AE375" s="381"/>
      <c r="AF375" s="108"/>
      <c r="AG375" s="108"/>
      <c r="AH375" s="108"/>
      <c r="AI375" s="104"/>
      <c r="AJ375" s="103"/>
    </row>
    <row r="376" customFormat="false" ht="11.25" hidden="false" customHeight="false" outlineLevel="0" collapsed="false">
      <c r="R376" s="30"/>
      <c r="S376" s="30"/>
      <c r="T376" s="30"/>
      <c r="U376" s="30"/>
      <c r="AD376" s="123"/>
      <c r="AE376" s="381"/>
      <c r="AF376" s="108"/>
      <c r="AG376" s="108"/>
      <c r="AH376" s="108"/>
      <c r="AI376" s="104"/>
      <c r="AJ376" s="103"/>
    </row>
    <row r="377" customFormat="false" ht="11.25" hidden="false" customHeight="false" outlineLevel="0" collapsed="false">
      <c r="R377" s="30"/>
      <c r="S377" s="30"/>
      <c r="T377" s="30"/>
      <c r="U377" s="30"/>
      <c r="AD377" s="123"/>
      <c r="AE377" s="381"/>
      <c r="AF377" s="108"/>
      <c r="AG377" s="108"/>
      <c r="AH377" s="108"/>
      <c r="AI377" s="104"/>
      <c r="AJ377" s="103"/>
    </row>
    <row r="378" customFormat="false" ht="11.25" hidden="false" customHeight="false" outlineLevel="0" collapsed="false">
      <c r="R378" s="30"/>
      <c r="S378" s="30"/>
      <c r="T378" s="30"/>
      <c r="U378" s="30"/>
      <c r="AD378" s="123"/>
      <c r="AE378" s="381"/>
      <c r="AF378" s="108"/>
      <c r="AG378" s="108"/>
      <c r="AH378" s="108"/>
      <c r="AI378" s="104"/>
      <c r="AJ378" s="103"/>
    </row>
    <row r="379" customFormat="false" ht="11.25" hidden="false" customHeight="false" outlineLevel="0" collapsed="false">
      <c r="R379" s="30"/>
      <c r="S379" s="30"/>
      <c r="T379" s="30"/>
      <c r="U379" s="30"/>
      <c r="AD379" s="123"/>
      <c r="AE379" s="381"/>
      <c r="AF379" s="108"/>
      <c r="AG379" s="108"/>
      <c r="AH379" s="108"/>
      <c r="AI379" s="104"/>
      <c r="AJ379" s="103"/>
    </row>
    <row r="380" customFormat="false" ht="11.25" hidden="false" customHeight="false" outlineLevel="0" collapsed="false">
      <c r="R380" s="30"/>
      <c r="S380" s="30"/>
      <c r="T380" s="30"/>
      <c r="U380" s="30"/>
      <c r="AD380" s="123"/>
      <c r="AE380" s="381"/>
      <c r="AF380" s="108"/>
      <c r="AG380" s="108"/>
      <c r="AH380" s="108"/>
      <c r="AI380" s="104"/>
      <c r="AJ380" s="103"/>
    </row>
    <row r="381" customFormat="false" ht="11.25" hidden="false" customHeight="false" outlineLevel="0" collapsed="false">
      <c r="R381" s="30"/>
      <c r="S381" s="30"/>
      <c r="T381" s="30"/>
      <c r="U381" s="30"/>
      <c r="AD381" s="123"/>
      <c r="AE381" s="381"/>
      <c r="AF381" s="108"/>
      <c r="AG381" s="108"/>
      <c r="AH381" s="108"/>
      <c r="AI381" s="104"/>
      <c r="AJ381" s="103"/>
    </row>
    <row r="382" customFormat="false" ht="11.25" hidden="false" customHeight="false" outlineLevel="0" collapsed="false">
      <c r="R382" s="30"/>
      <c r="S382" s="30"/>
      <c r="T382" s="30"/>
      <c r="U382" s="30"/>
      <c r="AD382" s="123"/>
      <c r="AE382" s="381"/>
      <c r="AF382" s="108"/>
      <c r="AG382" s="108"/>
      <c r="AH382" s="108"/>
      <c r="AI382" s="104"/>
      <c r="AJ382" s="103"/>
    </row>
    <row r="383" customFormat="false" ht="11.25" hidden="false" customHeight="false" outlineLevel="0" collapsed="false">
      <c r="R383" s="30"/>
      <c r="S383" s="30"/>
      <c r="T383" s="30"/>
      <c r="U383" s="30"/>
      <c r="AD383" s="123"/>
      <c r="AE383" s="381"/>
      <c r="AF383" s="108"/>
      <c r="AG383" s="108"/>
      <c r="AH383" s="108"/>
      <c r="AI383" s="104"/>
      <c r="AJ383" s="103"/>
    </row>
    <row r="384" customFormat="false" ht="11.25" hidden="false" customHeight="false" outlineLevel="0" collapsed="false">
      <c r="R384" s="30"/>
      <c r="S384" s="30"/>
      <c r="T384" s="30"/>
      <c r="U384" s="30"/>
      <c r="AD384" s="123"/>
      <c r="AE384" s="381"/>
      <c r="AF384" s="108"/>
      <c r="AG384" s="108"/>
      <c r="AH384" s="108"/>
      <c r="AI384" s="104"/>
      <c r="AJ384" s="103"/>
    </row>
    <row r="385" customFormat="false" ht="11.25" hidden="false" customHeight="false" outlineLevel="0" collapsed="false">
      <c r="R385" s="30"/>
      <c r="S385" s="30"/>
      <c r="T385" s="30"/>
      <c r="U385" s="30"/>
      <c r="AD385" s="123"/>
      <c r="AE385" s="381"/>
      <c r="AF385" s="108"/>
      <c r="AG385" s="108"/>
      <c r="AH385" s="108"/>
      <c r="AI385" s="104"/>
      <c r="AJ385" s="103"/>
    </row>
    <row r="386" customFormat="false" ht="11.25" hidden="false" customHeight="false" outlineLevel="0" collapsed="false">
      <c r="R386" s="30"/>
      <c r="S386" s="30"/>
      <c r="T386" s="30"/>
      <c r="U386" s="30"/>
      <c r="AD386" s="123"/>
      <c r="AE386" s="381"/>
      <c r="AF386" s="108"/>
      <c r="AG386" s="108"/>
      <c r="AH386" s="108"/>
      <c r="AI386" s="104"/>
      <c r="AJ386" s="103"/>
    </row>
    <row r="387" customFormat="false" ht="11.25" hidden="false" customHeight="false" outlineLevel="0" collapsed="false">
      <c r="R387" s="30"/>
      <c r="S387" s="30"/>
      <c r="T387" s="30"/>
      <c r="U387" s="30"/>
      <c r="AD387" s="123"/>
      <c r="AE387" s="381"/>
      <c r="AF387" s="108"/>
      <c r="AG387" s="108"/>
      <c r="AH387" s="108"/>
      <c r="AI387" s="104"/>
      <c r="AJ387" s="103"/>
    </row>
    <row r="388" customFormat="false" ht="11.25" hidden="false" customHeight="false" outlineLevel="0" collapsed="false">
      <c r="R388" s="30"/>
      <c r="S388" s="30"/>
      <c r="T388" s="30"/>
      <c r="U388" s="30"/>
      <c r="AD388" s="123"/>
      <c r="AE388" s="381"/>
      <c r="AF388" s="108"/>
      <c r="AG388" s="108"/>
      <c r="AH388" s="108"/>
      <c r="AI388" s="104"/>
      <c r="AJ388" s="103"/>
    </row>
    <row r="389" customFormat="false" ht="11.25" hidden="false" customHeight="false" outlineLevel="0" collapsed="false">
      <c r="R389" s="30"/>
      <c r="S389" s="30"/>
      <c r="T389" s="30"/>
      <c r="U389" s="30"/>
      <c r="AD389" s="123"/>
      <c r="AE389" s="381"/>
      <c r="AF389" s="108"/>
      <c r="AG389" s="108"/>
      <c r="AH389" s="108"/>
      <c r="AI389" s="104"/>
      <c r="AJ389" s="103"/>
    </row>
    <row r="390" customFormat="false" ht="11.25" hidden="false" customHeight="false" outlineLevel="0" collapsed="false">
      <c r="R390" s="30"/>
      <c r="S390" s="30"/>
      <c r="T390" s="30"/>
      <c r="U390" s="30"/>
      <c r="AD390" s="123"/>
      <c r="AE390" s="381"/>
      <c r="AF390" s="108"/>
      <c r="AG390" s="108"/>
      <c r="AH390" s="108"/>
      <c r="AI390" s="104"/>
      <c r="AJ390" s="103"/>
    </row>
    <row r="391" customFormat="false" ht="11.25" hidden="false" customHeight="false" outlineLevel="0" collapsed="false">
      <c r="R391" s="30"/>
      <c r="S391" s="30"/>
      <c r="T391" s="30"/>
      <c r="U391" s="30"/>
      <c r="AD391" s="123"/>
      <c r="AE391" s="381"/>
      <c r="AF391" s="108"/>
      <c r="AG391" s="108"/>
      <c r="AH391" s="108"/>
      <c r="AI391" s="104"/>
      <c r="AJ391" s="103"/>
    </row>
    <row r="392" customFormat="false" ht="11.25" hidden="false" customHeight="false" outlineLevel="0" collapsed="false">
      <c r="R392" s="30"/>
      <c r="S392" s="30"/>
      <c r="T392" s="30"/>
      <c r="U392" s="30"/>
      <c r="AD392" s="123"/>
      <c r="AE392" s="380"/>
      <c r="AF392" s="189"/>
      <c r="AG392" s="108"/>
      <c r="AH392" s="108"/>
      <c r="AI392" s="104"/>
      <c r="AJ392" s="103"/>
    </row>
    <row r="393" customFormat="false" ht="11.25" hidden="false" customHeight="false" outlineLevel="0" collapsed="false">
      <c r="R393" s="30"/>
      <c r="S393" s="30"/>
      <c r="T393" s="30"/>
      <c r="U393" s="30"/>
      <c r="AD393" s="123"/>
      <c r="AE393" s="380"/>
      <c r="AF393" s="189"/>
      <c r="AG393" s="108"/>
      <c r="AH393" s="108"/>
      <c r="AI393" s="104"/>
      <c r="AJ393" s="103"/>
    </row>
    <row r="394" customFormat="false" ht="11.25" hidden="false" customHeight="false" outlineLevel="0" collapsed="false">
      <c r="R394" s="30"/>
      <c r="S394" s="30"/>
      <c r="T394" s="30"/>
      <c r="U394" s="30"/>
      <c r="AD394" s="123"/>
      <c r="AE394" s="380"/>
      <c r="AF394" s="189"/>
      <c r="AG394" s="108"/>
      <c r="AH394" s="108"/>
      <c r="AI394" s="104"/>
      <c r="AJ394" s="103"/>
    </row>
    <row r="395" customFormat="false" ht="11.25" hidden="false" customHeight="false" outlineLevel="0" collapsed="false">
      <c r="R395" s="30"/>
      <c r="S395" s="30"/>
      <c r="T395" s="30"/>
      <c r="U395" s="30"/>
      <c r="AD395" s="123"/>
      <c r="AE395" s="380"/>
      <c r="AF395" s="189"/>
      <c r="AG395" s="108"/>
      <c r="AH395" s="108"/>
      <c r="AI395" s="104"/>
      <c r="AJ395" s="103"/>
    </row>
    <row r="396" customFormat="false" ht="11.25" hidden="false" customHeight="false" outlineLevel="0" collapsed="false">
      <c r="R396" s="30"/>
      <c r="S396" s="30"/>
      <c r="T396" s="30"/>
      <c r="U396" s="30"/>
      <c r="AD396" s="123"/>
      <c r="AE396" s="380"/>
      <c r="AF396" s="189"/>
      <c r="AG396" s="108"/>
      <c r="AH396" s="108"/>
      <c r="AI396" s="104"/>
      <c r="AJ396" s="103"/>
    </row>
    <row r="397" customFormat="false" ht="11.25" hidden="false" customHeight="false" outlineLevel="0" collapsed="false">
      <c r="R397" s="30"/>
      <c r="S397" s="30"/>
      <c r="T397" s="30"/>
      <c r="U397" s="30"/>
      <c r="AD397" s="123"/>
      <c r="AE397" s="380"/>
      <c r="AF397" s="189"/>
      <c r="AG397" s="108"/>
      <c r="AH397" s="108"/>
      <c r="AI397" s="104"/>
      <c r="AJ397" s="103"/>
    </row>
    <row r="398" customFormat="false" ht="11.25" hidden="false" customHeight="false" outlineLevel="0" collapsed="false">
      <c r="R398" s="30"/>
      <c r="S398" s="30"/>
      <c r="T398" s="30"/>
      <c r="U398" s="30"/>
      <c r="AD398" s="123"/>
      <c r="AE398" s="380"/>
      <c r="AF398" s="189"/>
      <c r="AG398" s="108"/>
      <c r="AH398" s="108"/>
      <c r="AI398" s="104"/>
      <c r="AJ398" s="103"/>
    </row>
    <row r="399" customFormat="false" ht="11.25" hidden="false" customHeight="false" outlineLevel="0" collapsed="false">
      <c r="R399" s="30"/>
      <c r="S399" s="30"/>
      <c r="T399" s="30"/>
      <c r="U399" s="30"/>
      <c r="AD399" s="123"/>
      <c r="AE399" s="380"/>
      <c r="AF399" s="189"/>
      <c r="AG399" s="108"/>
      <c r="AH399" s="108"/>
      <c r="AI399" s="104"/>
      <c r="AJ399" s="103"/>
    </row>
    <row r="400" customFormat="false" ht="11.25" hidden="false" customHeight="false" outlineLevel="0" collapsed="false">
      <c r="R400" s="30"/>
      <c r="S400" s="30"/>
      <c r="T400" s="30"/>
      <c r="U400" s="30"/>
      <c r="AD400" s="123"/>
      <c r="AE400" s="380"/>
      <c r="AF400" s="189"/>
      <c r="AG400" s="108"/>
      <c r="AH400" s="108"/>
      <c r="AI400" s="104"/>
      <c r="AJ400" s="103"/>
    </row>
    <row r="401" customFormat="false" ht="11.25" hidden="false" customHeight="false" outlineLevel="0" collapsed="false">
      <c r="R401" s="30"/>
      <c r="S401" s="30"/>
      <c r="T401" s="30"/>
      <c r="U401" s="30"/>
      <c r="AD401" s="123"/>
      <c r="AE401" s="380"/>
      <c r="AF401" s="189"/>
      <c r="AG401" s="108"/>
      <c r="AH401" s="108"/>
      <c r="AI401" s="104"/>
      <c r="AJ401" s="103"/>
    </row>
    <row r="402" customFormat="false" ht="11.25" hidden="false" customHeight="false" outlineLevel="0" collapsed="false">
      <c r="R402" s="30"/>
      <c r="S402" s="30"/>
      <c r="T402" s="30"/>
      <c r="U402" s="30"/>
      <c r="AD402" s="123"/>
      <c r="AE402" s="380"/>
      <c r="AF402" s="189"/>
      <c r="AG402" s="108"/>
      <c r="AH402" s="108"/>
      <c r="AI402" s="104"/>
      <c r="AJ402" s="103"/>
    </row>
    <row r="403" customFormat="false" ht="11.25" hidden="false" customHeight="false" outlineLevel="0" collapsed="false">
      <c r="R403" s="30"/>
      <c r="S403" s="30"/>
      <c r="T403" s="30"/>
      <c r="U403" s="30"/>
      <c r="AD403" s="123"/>
      <c r="AE403" s="380"/>
      <c r="AF403" s="189"/>
      <c r="AG403" s="108"/>
      <c r="AH403" s="108"/>
      <c r="AI403" s="104"/>
      <c r="AJ403" s="103"/>
    </row>
    <row r="404" customFormat="false" ht="11.25" hidden="false" customHeight="false" outlineLevel="0" collapsed="false">
      <c r="R404" s="30"/>
      <c r="S404" s="30"/>
      <c r="T404" s="30"/>
      <c r="U404" s="30"/>
      <c r="AD404" s="123"/>
      <c r="AE404" s="380"/>
      <c r="AF404" s="189"/>
      <c r="AG404" s="108"/>
      <c r="AH404" s="108"/>
      <c r="AI404" s="104"/>
      <c r="AJ404" s="103"/>
    </row>
    <row r="405" customFormat="false" ht="11.25" hidden="false" customHeight="false" outlineLevel="0" collapsed="false">
      <c r="R405" s="30"/>
      <c r="S405" s="30"/>
      <c r="T405" s="30"/>
      <c r="U405" s="30"/>
      <c r="AD405" s="123"/>
      <c r="AE405" s="380"/>
      <c r="AF405" s="189"/>
      <c r="AG405" s="108"/>
      <c r="AH405" s="108"/>
      <c r="AI405" s="104"/>
      <c r="AJ405" s="103"/>
    </row>
    <row r="406" customFormat="false" ht="11.25" hidden="false" customHeight="false" outlineLevel="0" collapsed="false">
      <c r="R406" s="30"/>
      <c r="S406" s="30"/>
      <c r="T406" s="30"/>
      <c r="U406" s="30"/>
      <c r="AD406" s="123"/>
      <c r="AE406" s="380"/>
      <c r="AF406" s="189"/>
      <c r="AG406" s="108"/>
      <c r="AH406" s="108"/>
      <c r="AI406" s="104"/>
      <c r="AJ406" s="103"/>
    </row>
    <row r="407" customFormat="false" ht="11.25" hidden="false" customHeight="false" outlineLevel="0" collapsed="false">
      <c r="R407" s="30"/>
      <c r="S407" s="30"/>
      <c r="T407" s="30"/>
      <c r="U407" s="30"/>
      <c r="AD407" s="123"/>
      <c r="AE407" s="380"/>
      <c r="AF407" s="189"/>
      <c r="AG407" s="108"/>
      <c r="AH407" s="108"/>
      <c r="AI407" s="104"/>
      <c r="AJ407" s="103"/>
    </row>
    <row r="408" customFormat="false" ht="11.25" hidden="false" customHeight="false" outlineLevel="0" collapsed="false">
      <c r="R408" s="30"/>
      <c r="S408" s="30"/>
      <c r="T408" s="30"/>
      <c r="U408" s="30"/>
      <c r="AD408" s="123"/>
      <c r="AE408" s="380"/>
      <c r="AF408" s="189"/>
      <c r="AG408" s="108"/>
      <c r="AH408" s="108"/>
      <c r="AI408" s="104"/>
      <c r="AJ408" s="103"/>
    </row>
    <row r="409" customFormat="false" ht="11.25" hidden="false" customHeight="false" outlineLevel="0" collapsed="false">
      <c r="R409" s="30"/>
      <c r="S409" s="30"/>
      <c r="T409" s="30"/>
      <c r="U409" s="30"/>
      <c r="AD409" s="123"/>
      <c r="AE409" s="380"/>
      <c r="AF409" s="189"/>
      <c r="AG409" s="108"/>
      <c r="AH409" s="108"/>
      <c r="AI409" s="104"/>
      <c r="AJ409" s="103"/>
    </row>
    <row r="410" customFormat="false" ht="11.25" hidden="false" customHeight="false" outlineLevel="0" collapsed="false">
      <c r="R410" s="30"/>
      <c r="S410" s="30"/>
      <c r="T410" s="30"/>
      <c r="U410" s="30"/>
      <c r="AD410" s="123"/>
      <c r="AE410" s="380"/>
      <c r="AF410" s="189"/>
      <c r="AG410" s="108"/>
      <c r="AH410" s="108"/>
      <c r="AI410" s="104"/>
      <c r="AJ410" s="103"/>
    </row>
    <row r="411" customFormat="false" ht="11.25" hidden="false" customHeight="false" outlineLevel="0" collapsed="false">
      <c r="R411" s="30"/>
      <c r="S411" s="30"/>
      <c r="T411" s="30"/>
      <c r="U411" s="30"/>
      <c r="AD411" s="123"/>
      <c r="AE411" s="380"/>
      <c r="AF411" s="189"/>
      <c r="AG411" s="108"/>
      <c r="AH411" s="108"/>
      <c r="AI411" s="104"/>
      <c r="AJ411" s="103"/>
    </row>
    <row r="412" customFormat="false" ht="11.25" hidden="false" customHeight="false" outlineLevel="0" collapsed="false">
      <c r="R412" s="30"/>
      <c r="S412" s="30"/>
      <c r="T412" s="30"/>
      <c r="U412" s="30"/>
      <c r="AD412" s="123"/>
      <c r="AE412" s="380"/>
      <c r="AF412" s="189"/>
      <c r="AG412" s="108"/>
      <c r="AH412" s="108"/>
      <c r="AI412" s="104"/>
      <c r="AJ412" s="103"/>
    </row>
    <row r="413" customFormat="false" ht="11.25" hidden="false" customHeight="false" outlineLevel="0" collapsed="false">
      <c r="R413" s="30"/>
      <c r="S413" s="30"/>
      <c r="T413" s="30"/>
      <c r="U413" s="30"/>
      <c r="AD413" s="123"/>
      <c r="AE413" s="380"/>
      <c r="AF413" s="189"/>
      <c r="AG413" s="108"/>
      <c r="AH413" s="108"/>
      <c r="AI413" s="104"/>
      <c r="AJ413" s="103"/>
    </row>
    <row r="414" customFormat="false" ht="11.25" hidden="false" customHeight="false" outlineLevel="0" collapsed="false">
      <c r="R414" s="30"/>
      <c r="S414" s="30"/>
      <c r="T414" s="30"/>
      <c r="U414" s="30"/>
      <c r="AD414" s="123"/>
      <c r="AE414" s="380"/>
      <c r="AF414" s="189"/>
      <c r="AG414" s="108"/>
      <c r="AH414" s="108"/>
      <c r="AI414" s="104"/>
      <c r="AJ414" s="103"/>
    </row>
    <row r="415" customFormat="false" ht="11.25" hidden="false" customHeight="false" outlineLevel="0" collapsed="false">
      <c r="R415" s="30"/>
      <c r="S415" s="30"/>
      <c r="T415" s="30"/>
      <c r="U415" s="30"/>
      <c r="AD415" s="123"/>
      <c r="AE415" s="380"/>
      <c r="AF415" s="189"/>
      <c r="AG415" s="108"/>
      <c r="AH415" s="108"/>
      <c r="AI415" s="104"/>
      <c r="AJ415" s="103"/>
    </row>
    <row r="416" customFormat="false" ht="11.25" hidden="false" customHeight="false" outlineLevel="0" collapsed="false">
      <c r="R416" s="30"/>
      <c r="S416" s="30"/>
      <c r="T416" s="30"/>
      <c r="U416" s="30"/>
      <c r="AD416" s="123"/>
      <c r="AE416" s="380"/>
      <c r="AF416" s="189"/>
      <c r="AG416" s="108"/>
      <c r="AH416" s="108"/>
      <c r="AI416" s="104"/>
      <c r="AJ416" s="103"/>
    </row>
    <row r="417" customFormat="false" ht="11.25" hidden="false" customHeight="false" outlineLevel="0" collapsed="false">
      <c r="R417" s="30"/>
      <c r="S417" s="30"/>
      <c r="T417" s="30"/>
      <c r="U417" s="30"/>
      <c r="AD417" s="123"/>
      <c r="AE417" s="380"/>
      <c r="AF417" s="189"/>
      <c r="AG417" s="108"/>
      <c r="AH417" s="108"/>
      <c r="AI417" s="104"/>
      <c r="AJ417" s="103"/>
    </row>
    <row r="418" customFormat="false" ht="11.25" hidden="false" customHeight="false" outlineLevel="0" collapsed="false">
      <c r="R418" s="30"/>
      <c r="S418" s="30"/>
      <c r="T418" s="30"/>
      <c r="U418" s="30"/>
      <c r="AD418" s="123"/>
      <c r="AE418" s="380"/>
      <c r="AF418" s="189"/>
      <c r="AG418" s="108"/>
      <c r="AH418" s="108"/>
      <c r="AI418" s="104"/>
      <c r="AJ418" s="103"/>
    </row>
    <row r="419" customFormat="false" ht="11.25" hidden="false" customHeight="false" outlineLevel="0" collapsed="false">
      <c r="R419" s="30"/>
      <c r="S419" s="30"/>
      <c r="T419" s="30"/>
      <c r="U419" s="30"/>
      <c r="AD419" s="123"/>
      <c r="AE419" s="380"/>
      <c r="AF419" s="189"/>
      <c r="AG419" s="108"/>
      <c r="AH419" s="108"/>
      <c r="AI419" s="104"/>
      <c r="AJ419" s="103"/>
    </row>
    <row r="420" customFormat="false" ht="11.25" hidden="false" customHeight="false" outlineLevel="0" collapsed="false">
      <c r="R420" s="30"/>
      <c r="S420" s="30"/>
      <c r="T420" s="30"/>
      <c r="U420" s="30"/>
      <c r="AD420" s="123"/>
      <c r="AE420" s="380"/>
      <c r="AF420" s="189"/>
      <c r="AG420" s="108"/>
      <c r="AH420" s="108"/>
      <c r="AI420" s="104"/>
      <c r="AJ420" s="103"/>
    </row>
    <row r="421" customFormat="false" ht="11.25" hidden="false" customHeight="false" outlineLevel="0" collapsed="false">
      <c r="R421" s="30"/>
      <c r="S421" s="30"/>
      <c r="T421" s="30"/>
      <c r="U421" s="30"/>
      <c r="AD421" s="123"/>
      <c r="AE421" s="380"/>
      <c r="AF421" s="189"/>
      <c r="AG421" s="108"/>
      <c r="AH421" s="108"/>
      <c r="AI421" s="104"/>
      <c r="AJ421" s="103"/>
    </row>
    <row r="422" customFormat="false" ht="11.25" hidden="false" customHeight="false" outlineLevel="0" collapsed="false">
      <c r="R422" s="30"/>
      <c r="S422" s="30"/>
      <c r="T422" s="30"/>
      <c r="U422" s="30"/>
      <c r="AD422" s="123"/>
      <c r="AE422" s="380"/>
      <c r="AF422" s="189"/>
      <c r="AG422" s="108"/>
      <c r="AH422" s="108"/>
      <c r="AI422" s="104"/>
      <c r="AJ422" s="103"/>
    </row>
    <row r="423" customFormat="false" ht="11.25" hidden="false" customHeight="false" outlineLevel="0" collapsed="false">
      <c r="R423" s="30"/>
      <c r="S423" s="30"/>
      <c r="T423" s="30"/>
      <c r="U423" s="30"/>
      <c r="AD423" s="123"/>
      <c r="AE423" s="380"/>
      <c r="AF423" s="189"/>
      <c r="AG423" s="108"/>
      <c r="AH423" s="108"/>
      <c r="AI423" s="104"/>
      <c r="AJ423" s="103"/>
    </row>
    <row r="424" customFormat="false" ht="11.25" hidden="false" customHeight="false" outlineLevel="0" collapsed="false">
      <c r="R424" s="30"/>
      <c r="S424" s="30"/>
      <c r="T424" s="30"/>
      <c r="U424" s="30"/>
      <c r="AD424" s="123"/>
      <c r="AE424" s="380"/>
      <c r="AF424" s="189"/>
      <c r="AG424" s="108"/>
      <c r="AH424" s="108"/>
      <c r="AI424" s="104"/>
      <c r="AJ424" s="103"/>
    </row>
    <row r="425" customFormat="false" ht="11.25" hidden="false" customHeight="false" outlineLevel="0" collapsed="false">
      <c r="R425" s="30"/>
      <c r="S425" s="30"/>
      <c r="T425" s="30"/>
      <c r="U425" s="30"/>
      <c r="AD425" s="123"/>
      <c r="AE425" s="380"/>
      <c r="AF425" s="189"/>
      <c r="AG425" s="108"/>
      <c r="AH425" s="108"/>
      <c r="AI425" s="104"/>
      <c r="AJ425" s="103"/>
    </row>
    <row r="426" customFormat="false" ht="11.25" hidden="false" customHeight="false" outlineLevel="0" collapsed="false">
      <c r="R426" s="30"/>
      <c r="S426" s="30"/>
      <c r="T426" s="30"/>
      <c r="U426" s="30"/>
      <c r="AD426" s="123"/>
      <c r="AE426" s="380"/>
      <c r="AF426" s="189"/>
      <c r="AG426" s="108"/>
      <c r="AH426" s="108"/>
      <c r="AI426" s="104"/>
      <c r="AJ426" s="103"/>
    </row>
    <row r="427" customFormat="false" ht="11.25" hidden="false" customHeight="false" outlineLevel="0" collapsed="false">
      <c r="R427" s="30"/>
      <c r="S427" s="30"/>
      <c r="T427" s="30"/>
      <c r="U427" s="30"/>
      <c r="AD427" s="123"/>
      <c r="AE427" s="380"/>
      <c r="AF427" s="189"/>
      <c r="AG427" s="108"/>
      <c r="AH427" s="108"/>
      <c r="AI427" s="104"/>
      <c r="AJ427" s="103"/>
    </row>
    <row r="428" customFormat="false" ht="11.25" hidden="false" customHeight="false" outlineLevel="0" collapsed="false">
      <c r="R428" s="30"/>
      <c r="S428" s="30"/>
      <c r="T428" s="30"/>
      <c r="U428" s="30"/>
      <c r="AD428" s="123"/>
      <c r="AE428" s="380"/>
      <c r="AF428" s="189"/>
      <c r="AG428" s="108"/>
      <c r="AH428" s="108"/>
      <c r="AI428" s="104"/>
      <c r="AJ428" s="103"/>
    </row>
    <row r="429" customFormat="false" ht="11.25" hidden="false" customHeight="false" outlineLevel="0" collapsed="false">
      <c r="R429" s="30"/>
      <c r="S429" s="30"/>
      <c r="T429" s="30"/>
      <c r="U429" s="30"/>
      <c r="AD429" s="123"/>
      <c r="AE429" s="380"/>
      <c r="AF429" s="189"/>
      <c r="AG429" s="108"/>
      <c r="AH429" s="108"/>
      <c r="AI429" s="104"/>
      <c r="AJ429" s="103"/>
    </row>
    <row r="430" customFormat="false" ht="11.25" hidden="false" customHeight="false" outlineLevel="0" collapsed="false">
      <c r="R430" s="30"/>
      <c r="S430" s="30"/>
      <c r="T430" s="30"/>
      <c r="U430" s="30"/>
      <c r="AD430" s="123"/>
      <c r="AE430" s="380"/>
      <c r="AF430" s="189"/>
      <c r="AG430" s="108"/>
      <c r="AH430" s="108"/>
      <c r="AI430" s="104"/>
      <c r="AJ430" s="103"/>
    </row>
    <row r="431" customFormat="false" ht="11.25" hidden="false" customHeight="false" outlineLevel="0" collapsed="false">
      <c r="R431" s="30"/>
      <c r="S431" s="30"/>
      <c r="T431" s="30"/>
      <c r="U431" s="30"/>
      <c r="AD431" s="123"/>
      <c r="AE431" s="380"/>
      <c r="AF431" s="189"/>
      <c r="AG431" s="108"/>
      <c r="AH431" s="108"/>
      <c r="AI431" s="104"/>
      <c r="AJ431" s="103"/>
    </row>
    <row r="432" customFormat="false" ht="11.25" hidden="false" customHeight="false" outlineLevel="0" collapsed="false">
      <c r="R432" s="30"/>
      <c r="S432" s="30"/>
      <c r="T432" s="30"/>
      <c r="U432" s="30"/>
      <c r="AD432" s="123"/>
      <c r="AE432" s="380"/>
      <c r="AF432" s="189"/>
      <c r="AG432" s="108"/>
      <c r="AH432" s="108"/>
      <c r="AI432" s="104"/>
      <c r="AJ432" s="103"/>
    </row>
    <row r="433" customFormat="false" ht="11.25" hidden="false" customHeight="false" outlineLevel="0" collapsed="false">
      <c r="R433" s="30"/>
      <c r="S433" s="30"/>
      <c r="T433" s="30"/>
      <c r="U433" s="30"/>
      <c r="AD433" s="123"/>
      <c r="AE433" s="380"/>
      <c r="AF433" s="189"/>
      <c r="AG433" s="108"/>
      <c r="AH433" s="108"/>
      <c r="AI433" s="104"/>
      <c r="AJ433" s="103"/>
    </row>
    <row r="434" customFormat="false" ht="11.25" hidden="false" customHeight="false" outlineLevel="0" collapsed="false">
      <c r="R434" s="30"/>
      <c r="S434" s="30"/>
      <c r="T434" s="30"/>
      <c r="U434" s="30"/>
      <c r="AD434" s="123"/>
      <c r="AE434" s="380"/>
      <c r="AF434" s="189"/>
      <c r="AG434" s="108"/>
      <c r="AH434" s="108"/>
      <c r="AI434" s="104"/>
      <c r="AJ434" s="103"/>
    </row>
    <row r="435" customFormat="false" ht="11.25" hidden="false" customHeight="false" outlineLevel="0" collapsed="false">
      <c r="R435" s="30"/>
      <c r="S435" s="30"/>
      <c r="T435" s="30"/>
      <c r="U435" s="30"/>
      <c r="AD435" s="123"/>
      <c r="AE435" s="380"/>
      <c r="AF435" s="189"/>
      <c r="AG435" s="108"/>
      <c r="AH435" s="108"/>
      <c r="AI435" s="104"/>
      <c r="AJ435" s="103"/>
    </row>
    <row r="436" customFormat="false" ht="11.25" hidden="false" customHeight="false" outlineLevel="0" collapsed="false">
      <c r="R436" s="30"/>
      <c r="S436" s="30"/>
      <c r="T436" s="30"/>
      <c r="U436" s="30"/>
      <c r="AD436" s="123"/>
      <c r="AE436" s="380"/>
      <c r="AF436" s="189"/>
      <c r="AG436" s="108"/>
      <c r="AH436" s="108"/>
      <c r="AI436" s="104"/>
      <c r="AJ436" s="103"/>
    </row>
    <row r="437" customFormat="false" ht="11.25" hidden="false" customHeight="false" outlineLevel="0" collapsed="false">
      <c r="R437" s="30"/>
      <c r="S437" s="30"/>
      <c r="T437" s="30"/>
      <c r="U437" s="30"/>
      <c r="AD437" s="123"/>
      <c r="AE437" s="380"/>
      <c r="AF437" s="189"/>
      <c r="AG437" s="108"/>
      <c r="AH437" s="108"/>
      <c r="AI437" s="104"/>
      <c r="AJ437" s="103"/>
    </row>
    <row r="438" customFormat="false" ht="11.25" hidden="false" customHeight="false" outlineLevel="0" collapsed="false">
      <c r="R438" s="30"/>
      <c r="S438" s="30"/>
      <c r="T438" s="30"/>
      <c r="U438" s="30"/>
      <c r="AD438" s="123"/>
      <c r="AE438" s="380"/>
      <c r="AF438" s="189"/>
      <c r="AG438" s="108"/>
      <c r="AH438" s="108"/>
      <c r="AI438" s="104"/>
      <c r="AJ438" s="103"/>
    </row>
    <row r="439" customFormat="false" ht="11.25" hidden="false" customHeight="false" outlineLevel="0" collapsed="false">
      <c r="R439" s="30"/>
      <c r="S439" s="30"/>
      <c r="T439" s="30"/>
      <c r="U439" s="30"/>
      <c r="AD439" s="123"/>
      <c r="AE439" s="380"/>
      <c r="AF439" s="189"/>
      <c r="AG439" s="108"/>
      <c r="AH439" s="108"/>
      <c r="AI439" s="104"/>
      <c r="AJ439" s="103"/>
    </row>
    <row r="440" customFormat="false" ht="11.25" hidden="false" customHeight="false" outlineLevel="0" collapsed="false">
      <c r="R440" s="30"/>
      <c r="S440" s="30"/>
      <c r="T440" s="30"/>
      <c r="U440" s="30"/>
      <c r="AD440" s="123"/>
      <c r="AE440" s="380"/>
      <c r="AF440" s="189"/>
      <c r="AG440" s="108"/>
      <c r="AH440" s="108"/>
      <c r="AI440" s="104"/>
      <c r="AJ440" s="103"/>
    </row>
    <row r="441" customFormat="false" ht="11.25" hidden="false" customHeight="false" outlineLevel="0" collapsed="false">
      <c r="R441" s="30"/>
      <c r="S441" s="30"/>
      <c r="T441" s="30"/>
      <c r="U441" s="30"/>
      <c r="AD441" s="123"/>
      <c r="AE441" s="380"/>
      <c r="AF441" s="189"/>
      <c r="AG441" s="108"/>
      <c r="AH441" s="108"/>
      <c r="AI441" s="104"/>
      <c r="AJ441" s="103"/>
    </row>
    <row r="442" customFormat="false" ht="11.25" hidden="false" customHeight="false" outlineLevel="0" collapsed="false">
      <c r="R442" s="30"/>
      <c r="S442" s="30"/>
      <c r="T442" s="30"/>
      <c r="U442" s="30"/>
      <c r="AD442" s="123"/>
      <c r="AE442" s="380"/>
      <c r="AF442" s="189"/>
      <c r="AG442" s="108"/>
      <c r="AH442" s="108"/>
      <c r="AI442" s="104"/>
      <c r="AJ442" s="103"/>
    </row>
    <row r="443" customFormat="false" ht="11.25" hidden="false" customHeight="false" outlineLevel="0" collapsed="false">
      <c r="R443" s="30"/>
      <c r="S443" s="30"/>
      <c r="T443" s="30"/>
      <c r="U443" s="30"/>
      <c r="AD443" s="123"/>
      <c r="AE443" s="380"/>
      <c r="AF443" s="189"/>
      <c r="AG443" s="108"/>
      <c r="AH443" s="108"/>
      <c r="AI443" s="104"/>
      <c r="AJ443" s="103"/>
    </row>
    <row r="444" customFormat="false" ht="11.25" hidden="false" customHeight="false" outlineLevel="0" collapsed="false">
      <c r="R444" s="30"/>
      <c r="S444" s="30"/>
      <c r="T444" s="30"/>
      <c r="U444" s="30"/>
      <c r="AD444" s="123"/>
      <c r="AE444" s="380"/>
      <c r="AF444" s="189"/>
      <c r="AG444" s="108"/>
      <c r="AH444" s="108"/>
      <c r="AI444" s="104"/>
      <c r="AJ444" s="103"/>
    </row>
    <row r="445" customFormat="false" ht="11.25" hidden="false" customHeight="false" outlineLevel="0" collapsed="false">
      <c r="R445" s="30"/>
      <c r="S445" s="30"/>
      <c r="T445" s="30"/>
      <c r="U445" s="30"/>
      <c r="AD445" s="123"/>
      <c r="AE445" s="380"/>
      <c r="AF445" s="189"/>
      <c r="AG445" s="108"/>
      <c r="AH445" s="108"/>
      <c r="AI445" s="104"/>
      <c r="AJ445" s="103"/>
    </row>
    <row r="446" customFormat="false" ht="11.25" hidden="false" customHeight="false" outlineLevel="0" collapsed="false">
      <c r="R446" s="30"/>
      <c r="S446" s="30"/>
      <c r="T446" s="30"/>
      <c r="U446" s="30"/>
      <c r="AD446" s="123"/>
      <c r="AE446" s="380"/>
      <c r="AF446" s="189"/>
      <c r="AG446" s="108"/>
      <c r="AH446" s="108"/>
      <c r="AI446" s="104"/>
      <c r="AJ446" s="103"/>
    </row>
    <row r="447" customFormat="false" ht="11.25" hidden="false" customHeight="false" outlineLevel="0" collapsed="false">
      <c r="R447" s="30"/>
      <c r="S447" s="30"/>
      <c r="T447" s="30"/>
      <c r="U447" s="30"/>
      <c r="AD447" s="123"/>
      <c r="AE447" s="380"/>
      <c r="AF447" s="189"/>
      <c r="AG447" s="108"/>
      <c r="AH447" s="108"/>
      <c r="AI447" s="104"/>
      <c r="AJ447" s="103"/>
    </row>
    <row r="448" customFormat="false" ht="11.25" hidden="false" customHeight="false" outlineLevel="0" collapsed="false">
      <c r="R448" s="30"/>
      <c r="S448" s="30"/>
      <c r="T448" s="30"/>
      <c r="U448" s="30"/>
      <c r="AD448" s="123"/>
      <c r="AE448" s="380"/>
      <c r="AF448" s="189"/>
      <c r="AG448" s="108"/>
      <c r="AH448" s="108"/>
      <c r="AI448" s="104"/>
      <c r="AJ448" s="103"/>
    </row>
    <row r="449" customFormat="false" ht="11.25" hidden="false" customHeight="false" outlineLevel="0" collapsed="false">
      <c r="R449" s="30"/>
      <c r="S449" s="30"/>
      <c r="T449" s="30"/>
      <c r="U449" s="30"/>
      <c r="AD449" s="123"/>
      <c r="AE449" s="380"/>
      <c r="AF449" s="189"/>
      <c r="AG449" s="108"/>
      <c r="AH449" s="108"/>
      <c r="AI449" s="104"/>
      <c r="AJ449" s="103"/>
    </row>
    <row r="450" customFormat="false" ht="11.25" hidden="false" customHeight="false" outlineLevel="0" collapsed="false">
      <c r="R450" s="30"/>
      <c r="S450" s="30"/>
      <c r="T450" s="30"/>
      <c r="U450" s="30"/>
      <c r="AD450" s="123"/>
      <c r="AE450" s="380"/>
      <c r="AF450" s="189"/>
      <c r="AG450" s="108"/>
      <c r="AH450" s="108"/>
      <c r="AI450" s="104"/>
      <c r="AJ450" s="103"/>
    </row>
    <row r="451" customFormat="false" ht="11.25" hidden="false" customHeight="false" outlineLevel="0" collapsed="false">
      <c r="R451" s="30"/>
      <c r="S451" s="30"/>
      <c r="T451" s="30"/>
      <c r="U451" s="30"/>
      <c r="AD451" s="123"/>
      <c r="AE451" s="380"/>
      <c r="AF451" s="189"/>
      <c r="AG451" s="108"/>
      <c r="AH451" s="108"/>
      <c r="AI451" s="104"/>
      <c r="AJ451" s="103"/>
    </row>
    <row r="452" customFormat="false" ht="11.25" hidden="false" customHeight="false" outlineLevel="0" collapsed="false">
      <c r="R452" s="30"/>
      <c r="S452" s="30"/>
      <c r="T452" s="30"/>
      <c r="U452" s="30"/>
      <c r="AD452" s="123"/>
      <c r="AE452" s="380"/>
      <c r="AF452" s="189"/>
      <c r="AG452" s="108"/>
      <c r="AH452" s="108"/>
      <c r="AI452" s="104"/>
      <c r="AJ452" s="103"/>
    </row>
    <row r="453" customFormat="false" ht="11.25" hidden="false" customHeight="false" outlineLevel="0" collapsed="false">
      <c r="R453" s="30"/>
      <c r="S453" s="30"/>
      <c r="T453" s="30"/>
      <c r="U453" s="30"/>
      <c r="AD453" s="123"/>
      <c r="AE453" s="380"/>
      <c r="AF453" s="189"/>
      <c r="AG453" s="108"/>
      <c r="AH453" s="108"/>
      <c r="AI453" s="104"/>
      <c r="AJ453" s="103"/>
    </row>
    <row r="454" customFormat="false" ht="11.25" hidden="false" customHeight="false" outlineLevel="0" collapsed="false">
      <c r="R454" s="30"/>
      <c r="S454" s="30"/>
      <c r="T454" s="30"/>
      <c r="U454" s="30"/>
      <c r="AD454" s="123"/>
      <c r="AE454" s="380"/>
      <c r="AF454" s="189"/>
      <c r="AG454" s="108"/>
      <c r="AH454" s="108"/>
      <c r="AI454" s="104"/>
      <c r="AJ454" s="103"/>
    </row>
    <row r="455" customFormat="false" ht="11.25" hidden="false" customHeight="false" outlineLevel="0" collapsed="false">
      <c r="R455" s="30"/>
      <c r="S455" s="30"/>
      <c r="T455" s="30"/>
      <c r="U455" s="30"/>
      <c r="AD455" s="123"/>
      <c r="AE455" s="380"/>
      <c r="AF455" s="189"/>
      <c r="AG455" s="108"/>
      <c r="AH455" s="108"/>
      <c r="AI455" s="104"/>
      <c r="AJ455" s="103"/>
    </row>
    <row r="456" customFormat="false" ht="11.25" hidden="false" customHeight="false" outlineLevel="0" collapsed="false">
      <c r="R456" s="30"/>
      <c r="S456" s="30"/>
      <c r="T456" s="30"/>
      <c r="U456" s="30"/>
      <c r="AD456" s="123"/>
      <c r="AE456" s="380"/>
      <c r="AF456" s="189"/>
      <c r="AG456" s="108"/>
      <c r="AH456" s="108"/>
      <c r="AI456" s="104"/>
      <c r="AJ456" s="103"/>
    </row>
    <row r="457" customFormat="false" ht="11.25" hidden="false" customHeight="false" outlineLevel="0" collapsed="false">
      <c r="R457" s="30"/>
      <c r="S457" s="30"/>
      <c r="T457" s="30"/>
      <c r="U457" s="30"/>
      <c r="AD457" s="123"/>
      <c r="AE457" s="380"/>
      <c r="AF457" s="189"/>
      <c r="AG457" s="108"/>
      <c r="AH457" s="108"/>
      <c r="AI457" s="104"/>
      <c r="AJ457" s="103"/>
    </row>
    <row r="458" customFormat="false" ht="11.25" hidden="false" customHeight="false" outlineLevel="0" collapsed="false">
      <c r="R458" s="30"/>
      <c r="S458" s="30"/>
      <c r="T458" s="30"/>
      <c r="U458" s="30"/>
      <c r="AD458" s="123"/>
      <c r="AE458" s="380"/>
      <c r="AF458" s="189"/>
      <c r="AG458" s="108"/>
      <c r="AH458" s="108"/>
      <c r="AI458" s="104"/>
      <c r="AJ458" s="103"/>
    </row>
    <row r="459" customFormat="false" ht="11.25" hidden="false" customHeight="false" outlineLevel="0" collapsed="false">
      <c r="R459" s="30"/>
      <c r="S459" s="30"/>
      <c r="T459" s="30"/>
      <c r="U459" s="30"/>
      <c r="AD459" s="123"/>
      <c r="AE459" s="380"/>
      <c r="AF459" s="189"/>
      <c r="AG459" s="108"/>
      <c r="AH459" s="108"/>
      <c r="AI459" s="104"/>
      <c r="AJ459" s="103"/>
    </row>
    <row r="460" customFormat="false" ht="11.25" hidden="false" customHeight="false" outlineLevel="0" collapsed="false">
      <c r="R460" s="30"/>
      <c r="S460" s="30"/>
      <c r="T460" s="30"/>
      <c r="U460" s="30"/>
      <c r="AD460" s="123"/>
      <c r="AE460" s="380"/>
      <c r="AF460" s="189"/>
      <c r="AG460" s="108"/>
      <c r="AH460" s="108"/>
      <c r="AI460" s="104"/>
      <c r="AJ460" s="103"/>
    </row>
    <row r="461" customFormat="false" ht="11.25" hidden="false" customHeight="false" outlineLevel="0" collapsed="false">
      <c r="R461" s="30"/>
      <c r="S461" s="30"/>
      <c r="T461" s="30"/>
      <c r="U461" s="30"/>
      <c r="AD461" s="123"/>
      <c r="AE461" s="380"/>
      <c r="AF461" s="189"/>
      <c r="AG461" s="108"/>
      <c r="AH461" s="108"/>
      <c r="AI461" s="104"/>
      <c r="AJ461" s="103"/>
    </row>
    <row r="462" customFormat="false" ht="11.25" hidden="false" customHeight="false" outlineLevel="0" collapsed="false">
      <c r="R462" s="30"/>
      <c r="S462" s="30"/>
      <c r="T462" s="30"/>
      <c r="U462" s="30"/>
      <c r="AD462" s="123"/>
      <c r="AE462" s="380"/>
      <c r="AF462" s="189"/>
      <c r="AG462" s="108"/>
      <c r="AH462" s="108"/>
      <c r="AI462" s="104"/>
      <c r="AJ462" s="103"/>
    </row>
    <row r="463" customFormat="false" ht="11.25" hidden="false" customHeight="false" outlineLevel="0" collapsed="false">
      <c r="R463" s="30"/>
      <c r="S463" s="30"/>
      <c r="T463" s="30"/>
      <c r="U463" s="30"/>
      <c r="AD463" s="123"/>
      <c r="AE463" s="380"/>
      <c r="AF463" s="189"/>
      <c r="AG463" s="108"/>
      <c r="AH463" s="108"/>
      <c r="AI463" s="104"/>
      <c r="AJ463" s="103"/>
    </row>
    <row r="464" customFormat="false" ht="11.25" hidden="false" customHeight="false" outlineLevel="0" collapsed="false">
      <c r="R464" s="30"/>
      <c r="S464" s="30"/>
      <c r="T464" s="30"/>
      <c r="U464" s="30"/>
      <c r="AD464" s="123"/>
      <c r="AE464" s="380"/>
      <c r="AF464" s="189"/>
      <c r="AG464" s="108"/>
      <c r="AH464" s="108"/>
      <c r="AI464" s="104"/>
      <c r="AJ464" s="103"/>
    </row>
    <row r="465" customFormat="false" ht="11.25" hidden="false" customHeight="false" outlineLevel="0" collapsed="false">
      <c r="R465" s="30"/>
      <c r="S465" s="30"/>
      <c r="T465" s="30"/>
      <c r="U465" s="30"/>
      <c r="AD465" s="123"/>
      <c r="AE465" s="380"/>
      <c r="AF465" s="189"/>
      <c r="AG465" s="108"/>
      <c r="AH465" s="108"/>
      <c r="AI465" s="104"/>
      <c r="AJ465" s="103"/>
    </row>
    <row r="466" customFormat="false" ht="11.25" hidden="false" customHeight="false" outlineLevel="0" collapsed="false">
      <c r="R466" s="30"/>
      <c r="S466" s="30"/>
      <c r="T466" s="30"/>
      <c r="U466" s="30"/>
      <c r="AD466" s="123"/>
      <c r="AE466" s="380"/>
      <c r="AF466" s="189"/>
      <c r="AG466" s="108"/>
      <c r="AH466" s="108"/>
      <c r="AI466" s="104"/>
      <c r="AJ466" s="103"/>
    </row>
    <row r="467" customFormat="false" ht="11.25" hidden="false" customHeight="false" outlineLevel="0" collapsed="false">
      <c r="R467" s="30"/>
      <c r="S467" s="30"/>
      <c r="T467" s="30"/>
      <c r="U467" s="30"/>
      <c r="AD467" s="123"/>
      <c r="AE467" s="380"/>
      <c r="AF467" s="189"/>
      <c r="AG467" s="108"/>
      <c r="AH467" s="108"/>
      <c r="AI467" s="104"/>
      <c r="AJ467" s="103"/>
    </row>
    <row r="468" customFormat="false" ht="11.25" hidden="false" customHeight="false" outlineLevel="0" collapsed="false">
      <c r="R468" s="30"/>
      <c r="S468" s="30"/>
      <c r="T468" s="30"/>
      <c r="U468" s="30"/>
      <c r="AD468" s="123"/>
      <c r="AE468" s="380"/>
      <c r="AF468" s="189"/>
      <c r="AG468" s="108"/>
      <c r="AH468" s="108"/>
      <c r="AI468" s="104"/>
      <c r="AJ468" s="103"/>
    </row>
    <row r="469" customFormat="false" ht="11.25" hidden="false" customHeight="false" outlineLevel="0" collapsed="false">
      <c r="R469" s="30"/>
      <c r="S469" s="30"/>
      <c r="T469" s="30"/>
      <c r="U469" s="30"/>
      <c r="AD469" s="123"/>
      <c r="AE469" s="380"/>
      <c r="AF469" s="189"/>
      <c r="AG469" s="108"/>
      <c r="AH469" s="108"/>
      <c r="AI469" s="104"/>
      <c r="AJ469" s="103"/>
    </row>
    <row r="470" customFormat="false" ht="11.25" hidden="false" customHeight="false" outlineLevel="0" collapsed="false">
      <c r="R470" s="30"/>
      <c r="S470" s="30"/>
      <c r="T470" s="30"/>
      <c r="U470" s="30"/>
      <c r="AD470" s="123"/>
      <c r="AE470" s="380"/>
      <c r="AF470" s="189"/>
      <c r="AG470" s="108"/>
      <c r="AH470" s="108"/>
      <c r="AI470" s="104"/>
      <c r="AJ470" s="103"/>
    </row>
    <row r="471" customFormat="false" ht="11.25" hidden="false" customHeight="false" outlineLevel="0" collapsed="false">
      <c r="R471" s="30"/>
      <c r="S471" s="30"/>
      <c r="T471" s="30"/>
      <c r="U471" s="30"/>
      <c r="AD471" s="123"/>
      <c r="AE471" s="380"/>
      <c r="AF471" s="189"/>
      <c r="AG471" s="108"/>
      <c r="AH471" s="108"/>
      <c r="AI471" s="104"/>
      <c r="AJ471" s="103"/>
    </row>
    <row r="472" customFormat="false" ht="11.25" hidden="false" customHeight="false" outlineLevel="0" collapsed="false">
      <c r="R472" s="30"/>
      <c r="S472" s="30"/>
      <c r="T472" s="30"/>
      <c r="U472" s="30"/>
      <c r="AD472" s="123"/>
      <c r="AE472" s="380"/>
      <c r="AF472" s="189"/>
      <c r="AG472" s="108"/>
      <c r="AH472" s="108"/>
      <c r="AI472" s="104"/>
      <c r="AJ472" s="103"/>
    </row>
    <row r="473" customFormat="false" ht="11.25" hidden="false" customHeight="false" outlineLevel="0" collapsed="false">
      <c r="R473" s="30"/>
      <c r="S473" s="30"/>
      <c r="T473" s="30"/>
      <c r="U473" s="30"/>
      <c r="AD473" s="123"/>
      <c r="AE473" s="380"/>
      <c r="AF473" s="189"/>
      <c r="AG473" s="108"/>
      <c r="AH473" s="108"/>
      <c r="AI473" s="104"/>
      <c r="AJ473" s="103"/>
    </row>
    <row r="474" customFormat="false" ht="11.25" hidden="false" customHeight="false" outlineLevel="0" collapsed="false">
      <c r="R474" s="30"/>
      <c r="S474" s="30"/>
      <c r="T474" s="30"/>
      <c r="U474" s="30"/>
      <c r="AD474" s="123"/>
      <c r="AE474" s="380"/>
      <c r="AF474" s="189"/>
      <c r="AG474" s="108"/>
      <c r="AH474" s="108"/>
      <c r="AI474" s="104"/>
      <c r="AJ474" s="103"/>
    </row>
    <row r="475" customFormat="false" ht="11.25" hidden="false" customHeight="false" outlineLevel="0" collapsed="false">
      <c r="R475" s="30"/>
      <c r="S475" s="30"/>
      <c r="T475" s="30"/>
      <c r="U475" s="30"/>
      <c r="AD475" s="123"/>
      <c r="AE475" s="380"/>
      <c r="AF475" s="189"/>
      <c r="AG475" s="108"/>
      <c r="AH475" s="108"/>
      <c r="AI475" s="104"/>
      <c r="AJ475" s="103"/>
    </row>
    <row r="476" customFormat="false" ht="11.25" hidden="false" customHeight="false" outlineLevel="0" collapsed="false">
      <c r="R476" s="30"/>
      <c r="S476" s="30"/>
      <c r="T476" s="30"/>
      <c r="U476" s="30"/>
      <c r="AD476" s="123"/>
      <c r="AE476" s="380"/>
      <c r="AF476" s="189"/>
      <c r="AG476" s="108"/>
      <c r="AH476" s="108"/>
      <c r="AI476" s="104"/>
      <c r="AJ476" s="103"/>
    </row>
    <row r="477" customFormat="false" ht="11.25" hidden="false" customHeight="false" outlineLevel="0" collapsed="false">
      <c r="R477" s="30"/>
      <c r="S477" s="30"/>
      <c r="T477" s="30"/>
      <c r="U477" s="30"/>
      <c r="AD477" s="123"/>
      <c r="AE477" s="380"/>
      <c r="AF477" s="189"/>
      <c r="AG477" s="108"/>
      <c r="AH477" s="108"/>
      <c r="AI477" s="104"/>
      <c r="AJ477" s="103"/>
    </row>
    <row r="478" customFormat="false" ht="11.25" hidden="false" customHeight="false" outlineLevel="0" collapsed="false">
      <c r="R478" s="30"/>
      <c r="S478" s="30"/>
      <c r="T478" s="30"/>
      <c r="U478" s="30"/>
      <c r="AD478" s="123"/>
      <c r="AE478" s="380"/>
      <c r="AF478" s="189"/>
      <c r="AG478" s="108"/>
      <c r="AH478" s="108"/>
      <c r="AI478" s="104"/>
      <c r="AJ478" s="103"/>
    </row>
    <row r="479" customFormat="false" ht="11.25" hidden="false" customHeight="false" outlineLevel="0" collapsed="false">
      <c r="R479" s="30"/>
      <c r="S479" s="30"/>
      <c r="T479" s="30"/>
      <c r="U479" s="30"/>
      <c r="AD479" s="123"/>
      <c r="AE479" s="380"/>
      <c r="AF479" s="189"/>
      <c r="AG479" s="108"/>
      <c r="AH479" s="108"/>
      <c r="AI479" s="104"/>
      <c r="AJ479" s="103"/>
    </row>
    <row r="480" customFormat="false" ht="11.25" hidden="false" customHeight="false" outlineLevel="0" collapsed="false">
      <c r="R480" s="30"/>
      <c r="S480" s="30"/>
      <c r="T480" s="30"/>
      <c r="U480" s="30"/>
      <c r="AD480" s="123"/>
      <c r="AE480" s="380"/>
      <c r="AF480" s="189"/>
      <c r="AG480" s="108"/>
      <c r="AH480" s="108"/>
      <c r="AI480" s="104"/>
      <c r="AJ480" s="103"/>
    </row>
    <row r="481" customFormat="false" ht="11.25" hidden="false" customHeight="false" outlineLevel="0" collapsed="false">
      <c r="R481" s="30"/>
      <c r="S481" s="30"/>
      <c r="T481" s="30"/>
      <c r="U481" s="30"/>
      <c r="AD481" s="123"/>
      <c r="AE481" s="380"/>
      <c r="AF481" s="189"/>
      <c r="AG481" s="108"/>
      <c r="AH481" s="108"/>
      <c r="AI481" s="104"/>
      <c r="AJ481" s="103"/>
    </row>
    <row r="482" customFormat="false" ht="11.25" hidden="false" customHeight="false" outlineLevel="0" collapsed="false">
      <c r="R482" s="30"/>
      <c r="S482" s="30"/>
      <c r="T482" s="30"/>
      <c r="U482" s="30"/>
      <c r="AD482" s="123"/>
      <c r="AE482" s="380"/>
      <c r="AF482" s="189"/>
      <c r="AG482" s="108"/>
      <c r="AH482" s="108"/>
      <c r="AI482" s="104"/>
      <c r="AJ482" s="103"/>
    </row>
    <row r="483" customFormat="false" ht="11.25" hidden="false" customHeight="false" outlineLevel="0" collapsed="false">
      <c r="R483" s="30"/>
      <c r="S483" s="30"/>
      <c r="T483" s="30"/>
      <c r="U483" s="30"/>
      <c r="AD483" s="123"/>
      <c r="AE483" s="380"/>
      <c r="AF483" s="189"/>
      <c r="AG483" s="108"/>
      <c r="AH483" s="108"/>
      <c r="AI483" s="104"/>
      <c r="AJ483" s="103"/>
    </row>
    <row r="484" customFormat="false" ht="11.25" hidden="false" customHeight="false" outlineLevel="0" collapsed="false">
      <c r="R484" s="30"/>
      <c r="S484" s="30"/>
      <c r="T484" s="30"/>
      <c r="U484" s="30"/>
      <c r="AD484" s="123"/>
      <c r="AE484" s="380"/>
      <c r="AF484" s="189"/>
      <c r="AG484" s="108"/>
      <c r="AH484" s="108"/>
      <c r="AI484" s="104"/>
      <c r="AJ484" s="103"/>
    </row>
    <row r="485" customFormat="false" ht="11.25" hidden="false" customHeight="false" outlineLevel="0" collapsed="false">
      <c r="R485" s="30"/>
      <c r="S485" s="30"/>
      <c r="T485" s="30"/>
      <c r="U485" s="30"/>
      <c r="AD485" s="123"/>
      <c r="AE485" s="380"/>
      <c r="AF485" s="189"/>
      <c r="AG485" s="108"/>
      <c r="AH485" s="108"/>
      <c r="AI485" s="104"/>
      <c r="AJ485" s="103"/>
    </row>
    <row r="486" customFormat="false" ht="11.25" hidden="false" customHeight="false" outlineLevel="0" collapsed="false">
      <c r="R486" s="30"/>
      <c r="S486" s="30"/>
      <c r="T486" s="30"/>
      <c r="U486" s="30"/>
      <c r="AD486" s="123"/>
      <c r="AE486" s="380"/>
      <c r="AF486" s="189"/>
      <c r="AG486" s="108"/>
      <c r="AH486" s="108"/>
      <c r="AI486" s="104"/>
      <c r="AJ486" s="103"/>
    </row>
    <row r="487" customFormat="false" ht="11.25" hidden="false" customHeight="false" outlineLevel="0" collapsed="false">
      <c r="R487" s="30"/>
      <c r="S487" s="30"/>
      <c r="T487" s="30"/>
      <c r="U487" s="30"/>
      <c r="AD487" s="123"/>
      <c r="AE487" s="380"/>
      <c r="AF487" s="189"/>
      <c r="AG487" s="108"/>
      <c r="AH487" s="108"/>
      <c r="AI487" s="104"/>
      <c r="AJ487" s="103"/>
    </row>
    <row r="488" customFormat="false" ht="11.25" hidden="false" customHeight="false" outlineLevel="0" collapsed="false">
      <c r="R488" s="30"/>
      <c r="S488" s="30"/>
      <c r="T488" s="30"/>
      <c r="U488" s="30"/>
      <c r="AD488" s="123"/>
      <c r="AE488" s="380"/>
      <c r="AF488" s="189"/>
      <c r="AG488" s="108"/>
      <c r="AH488" s="108"/>
      <c r="AI488" s="104"/>
      <c r="AJ488" s="103"/>
    </row>
    <row r="489" customFormat="false" ht="11.25" hidden="false" customHeight="false" outlineLevel="0" collapsed="false">
      <c r="R489" s="30"/>
      <c r="S489" s="30"/>
      <c r="T489" s="30"/>
      <c r="U489" s="30"/>
      <c r="AD489" s="123"/>
      <c r="AE489" s="380"/>
      <c r="AF489" s="189"/>
      <c r="AG489" s="108"/>
      <c r="AH489" s="108"/>
      <c r="AI489" s="104"/>
      <c r="AJ489" s="103"/>
    </row>
    <row r="490" customFormat="false" ht="11.25" hidden="false" customHeight="false" outlineLevel="0" collapsed="false">
      <c r="R490" s="30"/>
      <c r="S490" s="30"/>
      <c r="T490" s="30"/>
      <c r="U490" s="30"/>
      <c r="AD490" s="123"/>
      <c r="AE490" s="380"/>
      <c r="AF490" s="189"/>
      <c r="AG490" s="108"/>
      <c r="AH490" s="108"/>
      <c r="AI490" s="104"/>
      <c r="AJ490" s="103"/>
    </row>
    <row r="491" customFormat="false" ht="11.25" hidden="false" customHeight="false" outlineLevel="0" collapsed="false">
      <c r="R491" s="30"/>
      <c r="S491" s="30"/>
      <c r="T491" s="30"/>
      <c r="U491" s="30"/>
      <c r="AD491" s="123"/>
      <c r="AE491" s="380"/>
      <c r="AF491" s="189"/>
      <c r="AG491" s="108"/>
      <c r="AH491" s="108"/>
      <c r="AI491" s="104"/>
      <c r="AJ491" s="103"/>
    </row>
    <row r="492" customFormat="false" ht="11.25" hidden="false" customHeight="false" outlineLevel="0" collapsed="false">
      <c r="R492" s="30"/>
      <c r="S492" s="30"/>
      <c r="T492" s="30"/>
      <c r="U492" s="30"/>
      <c r="AD492" s="123"/>
      <c r="AE492" s="380"/>
      <c r="AF492" s="189"/>
      <c r="AG492" s="108"/>
      <c r="AH492" s="108"/>
      <c r="AI492" s="104"/>
      <c r="AJ492" s="103"/>
    </row>
    <row r="493" customFormat="false" ht="11.25" hidden="false" customHeight="false" outlineLevel="0" collapsed="false">
      <c r="R493" s="30"/>
      <c r="S493" s="30"/>
      <c r="T493" s="30"/>
      <c r="U493" s="30"/>
      <c r="AD493" s="123"/>
      <c r="AE493" s="380"/>
      <c r="AF493" s="189"/>
      <c r="AG493" s="108"/>
      <c r="AH493" s="108"/>
      <c r="AI493" s="104"/>
      <c r="AJ493" s="103"/>
    </row>
    <row r="494" customFormat="false" ht="11.25" hidden="false" customHeight="false" outlineLevel="0" collapsed="false">
      <c r="R494" s="30"/>
      <c r="S494" s="30"/>
      <c r="T494" s="30"/>
      <c r="U494" s="30"/>
      <c r="AD494" s="123"/>
      <c r="AE494" s="380"/>
      <c r="AF494" s="189"/>
      <c r="AG494" s="108"/>
      <c r="AH494" s="108"/>
      <c r="AI494" s="104"/>
      <c r="AJ494" s="103"/>
    </row>
    <row r="495" customFormat="false" ht="11.25" hidden="false" customHeight="false" outlineLevel="0" collapsed="false">
      <c r="R495" s="30"/>
      <c r="S495" s="30"/>
      <c r="T495" s="30"/>
      <c r="U495" s="30"/>
      <c r="AD495" s="123"/>
      <c r="AE495" s="380"/>
      <c r="AF495" s="189"/>
      <c r="AG495" s="108"/>
      <c r="AH495" s="108"/>
      <c r="AI495" s="104"/>
      <c r="AJ495" s="103"/>
    </row>
    <row r="496" customFormat="false" ht="11.25" hidden="false" customHeight="false" outlineLevel="0" collapsed="false">
      <c r="R496" s="30"/>
      <c r="S496" s="30"/>
      <c r="T496" s="30"/>
      <c r="U496" s="30"/>
      <c r="AD496" s="123"/>
      <c r="AE496" s="380"/>
      <c r="AF496" s="189"/>
      <c r="AG496" s="108"/>
      <c r="AH496" s="108"/>
      <c r="AI496" s="104"/>
      <c r="AJ496" s="103"/>
    </row>
    <row r="497" customFormat="false" ht="11.25" hidden="false" customHeight="false" outlineLevel="0" collapsed="false">
      <c r="R497" s="30"/>
      <c r="S497" s="30"/>
      <c r="T497" s="30"/>
      <c r="U497" s="30"/>
      <c r="AD497" s="123"/>
      <c r="AE497" s="380"/>
      <c r="AF497" s="189"/>
      <c r="AG497" s="108"/>
      <c r="AH497" s="108"/>
      <c r="AI497" s="104"/>
      <c r="AJ497" s="103"/>
    </row>
    <row r="498" customFormat="false" ht="11.25" hidden="false" customHeight="false" outlineLevel="0" collapsed="false">
      <c r="R498" s="30"/>
      <c r="S498" s="30"/>
      <c r="T498" s="30"/>
      <c r="U498" s="30"/>
      <c r="AD498" s="123"/>
      <c r="AE498" s="380"/>
      <c r="AF498" s="189"/>
      <c r="AG498" s="108"/>
      <c r="AH498" s="108"/>
      <c r="AI498" s="104"/>
      <c r="AJ498" s="103"/>
    </row>
    <row r="499" customFormat="false" ht="11.25" hidden="false" customHeight="false" outlineLevel="0" collapsed="false">
      <c r="R499" s="30"/>
      <c r="S499" s="30"/>
      <c r="T499" s="30"/>
      <c r="U499" s="30"/>
      <c r="AD499" s="123"/>
      <c r="AE499" s="380"/>
      <c r="AF499" s="189"/>
      <c r="AG499" s="108"/>
      <c r="AH499" s="108"/>
      <c r="AI499" s="104"/>
      <c r="AJ499" s="103"/>
    </row>
    <row r="500" customFormat="false" ht="11.25" hidden="false" customHeight="false" outlineLevel="0" collapsed="false">
      <c r="R500" s="30"/>
      <c r="S500" s="30"/>
      <c r="T500" s="30"/>
      <c r="U500" s="30"/>
      <c r="AD500" s="123"/>
      <c r="AE500" s="380"/>
      <c r="AF500" s="189"/>
      <c r="AG500" s="108"/>
      <c r="AH500" s="108"/>
      <c r="AI500" s="104"/>
      <c r="AJ500" s="103"/>
    </row>
    <row r="501" customFormat="false" ht="11.25" hidden="false" customHeight="false" outlineLevel="0" collapsed="false">
      <c r="R501" s="30"/>
      <c r="S501" s="30"/>
      <c r="T501" s="30"/>
      <c r="U501" s="30"/>
      <c r="AD501" s="123"/>
      <c r="AE501" s="380"/>
      <c r="AF501" s="189"/>
      <c r="AG501" s="108"/>
      <c r="AH501" s="108"/>
      <c r="AI501" s="104"/>
      <c r="AJ501" s="103"/>
    </row>
    <row r="502" customFormat="false" ht="11.25" hidden="false" customHeight="false" outlineLevel="0" collapsed="false">
      <c r="R502" s="30"/>
      <c r="S502" s="30"/>
      <c r="T502" s="30"/>
      <c r="U502" s="30"/>
      <c r="AD502" s="123"/>
      <c r="AE502" s="380"/>
      <c r="AF502" s="189"/>
      <c r="AG502" s="108"/>
      <c r="AH502" s="108"/>
      <c r="AI502" s="104"/>
      <c r="AJ502" s="103"/>
    </row>
    <row r="503" customFormat="false" ht="11.25" hidden="false" customHeight="false" outlineLevel="0" collapsed="false">
      <c r="R503" s="30"/>
      <c r="S503" s="30"/>
      <c r="T503" s="30"/>
      <c r="U503" s="30"/>
      <c r="AD503" s="123"/>
      <c r="AE503" s="380"/>
      <c r="AF503" s="189"/>
      <c r="AG503" s="108"/>
      <c r="AH503" s="108"/>
      <c r="AI503" s="104"/>
      <c r="AJ503" s="103"/>
    </row>
    <row r="504" customFormat="false" ht="11.25" hidden="false" customHeight="false" outlineLevel="0" collapsed="false">
      <c r="R504" s="30"/>
      <c r="S504" s="30"/>
      <c r="T504" s="30"/>
      <c r="U504" s="30"/>
      <c r="AD504" s="123"/>
      <c r="AE504" s="380"/>
      <c r="AF504" s="189"/>
      <c r="AG504" s="108"/>
      <c r="AH504" s="108"/>
      <c r="AI504" s="104"/>
      <c r="AJ504" s="103"/>
    </row>
    <row r="505" customFormat="false" ht="11.25" hidden="false" customHeight="false" outlineLevel="0" collapsed="false">
      <c r="R505" s="30"/>
      <c r="S505" s="30"/>
      <c r="T505" s="30"/>
      <c r="U505" s="30"/>
      <c r="AD505" s="123"/>
      <c r="AE505" s="380"/>
      <c r="AF505" s="189"/>
      <c r="AG505" s="108"/>
      <c r="AH505" s="108"/>
      <c r="AI505" s="104"/>
      <c r="AJ505" s="103"/>
    </row>
    <row r="506" customFormat="false" ht="11.25" hidden="false" customHeight="false" outlineLevel="0" collapsed="false">
      <c r="R506" s="30"/>
      <c r="S506" s="30"/>
      <c r="T506" s="30"/>
      <c r="U506" s="30"/>
      <c r="AD506" s="123"/>
      <c r="AE506" s="380"/>
      <c r="AF506" s="189"/>
      <c r="AG506" s="108"/>
      <c r="AH506" s="108"/>
      <c r="AI506" s="104"/>
      <c r="AJ506" s="103"/>
    </row>
    <row r="507" customFormat="false" ht="11.25" hidden="false" customHeight="false" outlineLevel="0" collapsed="false">
      <c r="R507" s="30"/>
      <c r="S507" s="30"/>
      <c r="T507" s="30"/>
      <c r="U507" s="30"/>
      <c r="AD507" s="123"/>
      <c r="AE507" s="380"/>
      <c r="AF507" s="189"/>
      <c r="AG507" s="108"/>
      <c r="AH507" s="108"/>
      <c r="AI507" s="104"/>
      <c r="AJ507" s="103"/>
    </row>
    <row r="508" customFormat="false" ht="11.25" hidden="false" customHeight="false" outlineLevel="0" collapsed="false">
      <c r="R508" s="30"/>
      <c r="S508" s="30"/>
      <c r="T508" s="30"/>
      <c r="U508" s="30"/>
      <c r="AD508" s="123"/>
      <c r="AE508" s="380"/>
      <c r="AF508" s="189"/>
      <c r="AG508" s="108"/>
      <c r="AH508" s="108"/>
      <c r="AI508" s="104"/>
      <c r="AJ508" s="103"/>
    </row>
    <row r="509" customFormat="false" ht="11.25" hidden="false" customHeight="false" outlineLevel="0" collapsed="false">
      <c r="R509" s="30"/>
      <c r="S509" s="30"/>
      <c r="T509" s="30"/>
      <c r="U509" s="30"/>
      <c r="AD509" s="123"/>
      <c r="AE509" s="380"/>
      <c r="AF509" s="189"/>
      <c r="AG509" s="108"/>
      <c r="AH509" s="108"/>
      <c r="AI509" s="104"/>
      <c r="AJ509" s="103"/>
    </row>
    <row r="510" customFormat="false" ht="11.25" hidden="false" customHeight="false" outlineLevel="0" collapsed="false">
      <c r="R510" s="30"/>
      <c r="S510" s="30"/>
      <c r="T510" s="30"/>
      <c r="U510" s="30"/>
      <c r="AD510" s="123"/>
      <c r="AE510" s="380"/>
      <c r="AF510" s="189"/>
      <c r="AG510" s="108"/>
      <c r="AH510" s="108"/>
      <c r="AI510" s="104"/>
      <c r="AJ510" s="103"/>
    </row>
    <row r="511" customFormat="false" ht="11.25" hidden="false" customHeight="false" outlineLevel="0" collapsed="false">
      <c r="R511" s="30"/>
      <c r="S511" s="30"/>
      <c r="T511" s="30"/>
      <c r="U511" s="30"/>
      <c r="AD511" s="123"/>
      <c r="AE511" s="380"/>
      <c r="AF511" s="189"/>
      <c r="AG511" s="108"/>
      <c r="AH511" s="108"/>
      <c r="AI511" s="104"/>
      <c r="AJ511" s="103"/>
    </row>
    <row r="512" customFormat="false" ht="11.25" hidden="false" customHeight="false" outlineLevel="0" collapsed="false">
      <c r="R512" s="30"/>
      <c r="S512" s="30"/>
      <c r="T512" s="30"/>
      <c r="U512" s="30"/>
      <c r="AD512" s="123"/>
      <c r="AE512" s="380"/>
      <c r="AF512" s="189"/>
      <c r="AG512" s="108"/>
      <c r="AH512" s="108"/>
      <c r="AI512" s="104"/>
      <c r="AJ512" s="103"/>
    </row>
    <row r="513" customFormat="false" ht="11.25" hidden="false" customHeight="false" outlineLevel="0" collapsed="false">
      <c r="R513" s="30"/>
      <c r="S513" s="30"/>
      <c r="T513" s="30"/>
      <c r="U513" s="30"/>
      <c r="AD513" s="123"/>
      <c r="AE513" s="380"/>
      <c r="AF513" s="189"/>
      <c r="AG513" s="108"/>
      <c r="AH513" s="108"/>
      <c r="AI513" s="104"/>
      <c r="AJ513" s="103"/>
    </row>
    <row r="514" customFormat="false" ht="11.25" hidden="false" customHeight="false" outlineLevel="0" collapsed="false">
      <c r="R514" s="30"/>
      <c r="S514" s="30"/>
      <c r="T514" s="30"/>
      <c r="U514" s="30"/>
      <c r="AD514" s="123"/>
      <c r="AE514" s="380"/>
      <c r="AF514" s="189"/>
      <c r="AG514" s="108"/>
      <c r="AH514" s="108"/>
      <c r="AI514" s="104"/>
      <c r="AJ514" s="103"/>
    </row>
    <row r="515" customFormat="false" ht="11.25" hidden="false" customHeight="false" outlineLevel="0" collapsed="false">
      <c r="R515" s="30"/>
      <c r="S515" s="30"/>
      <c r="T515" s="30"/>
      <c r="U515" s="30"/>
      <c r="AD515" s="123"/>
      <c r="AE515" s="380"/>
      <c r="AF515" s="189"/>
      <c r="AG515" s="108"/>
      <c r="AH515" s="108"/>
      <c r="AI515" s="104"/>
      <c r="AJ515" s="103"/>
    </row>
    <row r="516" customFormat="false" ht="11.25" hidden="false" customHeight="false" outlineLevel="0" collapsed="false">
      <c r="R516" s="30"/>
      <c r="S516" s="30"/>
      <c r="T516" s="30"/>
      <c r="U516" s="30"/>
      <c r="AD516" s="123"/>
      <c r="AE516" s="380"/>
      <c r="AF516" s="189"/>
      <c r="AG516" s="108"/>
      <c r="AH516" s="108"/>
      <c r="AI516" s="104"/>
      <c r="AJ516" s="103"/>
    </row>
    <row r="517" customFormat="false" ht="11.25" hidden="false" customHeight="false" outlineLevel="0" collapsed="false">
      <c r="R517" s="30"/>
      <c r="S517" s="30"/>
      <c r="T517" s="30"/>
      <c r="U517" s="30"/>
      <c r="AD517" s="123"/>
      <c r="AE517" s="380"/>
      <c r="AF517" s="189"/>
      <c r="AG517" s="108"/>
      <c r="AH517" s="108"/>
      <c r="AI517" s="104"/>
      <c r="AJ517" s="103"/>
    </row>
    <row r="518" customFormat="false" ht="11.25" hidden="false" customHeight="false" outlineLevel="0" collapsed="false">
      <c r="R518" s="30"/>
      <c r="S518" s="30"/>
      <c r="T518" s="30"/>
      <c r="U518" s="30"/>
      <c r="AD518" s="123"/>
      <c r="AE518" s="380"/>
      <c r="AF518" s="189"/>
      <c r="AG518" s="108"/>
      <c r="AH518" s="108"/>
      <c r="AI518" s="104"/>
      <c r="AJ518" s="103"/>
    </row>
    <row r="519" customFormat="false" ht="11.25" hidden="false" customHeight="false" outlineLevel="0" collapsed="false">
      <c r="R519" s="30"/>
      <c r="S519" s="30"/>
      <c r="T519" s="30"/>
      <c r="U519" s="30"/>
      <c r="AD519" s="123"/>
      <c r="AE519" s="380"/>
      <c r="AF519" s="189"/>
      <c r="AG519" s="108"/>
      <c r="AH519" s="108"/>
      <c r="AI519" s="104"/>
      <c r="AJ519" s="103"/>
    </row>
    <row r="520" customFormat="false" ht="11.25" hidden="false" customHeight="false" outlineLevel="0" collapsed="false">
      <c r="R520" s="30"/>
      <c r="S520" s="30"/>
      <c r="T520" s="30"/>
      <c r="U520" s="30"/>
      <c r="AD520" s="123"/>
      <c r="AE520" s="380"/>
      <c r="AF520" s="189"/>
      <c r="AG520" s="108"/>
      <c r="AH520" s="108"/>
      <c r="AI520" s="104"/>
      <c r="AJ520" s="103"/>
    </row>
    <row r="521" customFormat="false" ht="11.25" hidden="false" customHeight="false" outlineLevel="0" collapsed="false">
      <c r="R521" s="30"/>
      <c r="S521" s="30"/>
      <c r="T521" s="30"/>
      <c r="U521" s="30"/>
      <c r="AD521" s="123"/>
      <c r="AE521" s="380"/>
      <c r="AF521" s="189"/>
      <c r="AG521" s="108"/>
      <c r="AH521" s="108"/>
      <c r="AI521" s="104"/>
      <c r="AJ521" s="103"/>
    </row>
    <row r="522" customFormat="false" ht="11.25" hidden="false" customHeight="false" outlineLevel="0" collapsed="false">
      <c r="R522" s="30"/>
      <c r="S522" s="30"/>
      <c r="T522" s="30"/>
      <c r="U522" s="30"/>
      <c r="AD522" s="123"/>
      <c r="AE522" s="380"/>
      <c r="AF522" s="189"/>
      <c r="AG522" s="108"/>
      <c r="AH522" s="108"/>
      <c r="AI522" s="104"/>
      <c r="AJ522" s="103"/>
    </row>
    <row r="523" customFormat="false" ht="11.25" hidden="false" customHeight="false" outlineLevel="0" collapsed="false">
      <c r="R523" s="30"/>
      <c r="S523" s="30"/>
      <c r="T523" s="30"/>
      <c r="U523" s="30"/>
      <c r="AD523" s="123"/>
      <c r="AE523" s="380"/>
      <c r="AF523" s="189"/>
      <c r="AG523" s="108"/>
      <c r="AH523" s="108"/>
      <c r="AI523" s="104"/>
      <c r="AJ523" s="103"/>
    </row>
    <row r="524" customFormat="false" ht="11.25" hidden="false" customHeight="false" outlineLevel="0" collapsed="false">
      <c r="R524" s="30"/>
      <c r="S524" s="30"/>
      <c r="T524" s="30"/>
      <c r="U524" s="30"/>
      <c r="AD524" s="123"/>
      <c r="AE524" s="380"/>
      <c r="AF524" s="189"/>
      <c r="AG524" s="108"/>
      <c r="AH524" s="108"/>
      <c r="AI524" s="104"/>
      <c r="AJ524" s="103"/>
    </row>
    <row r="525" customFormat="false" ht="11.25" hidden="false" customHeight="false" outlineLevel="0" collapsed="false">
      <c r="R525" s="30"/>
      <c r="S525" s="30"/>
      <c r="T525" s="30"/>
      <c r="U525" s="30"/>
      <c r="AD525" s="123"/>
      <c r="AE525" s="380"/>
      <c r="AF525" s="189"/>
      <c r="AG525" s="108"/>
      <c r="AH525" s="108"/>
      <c r="AI525" s="104"/>
      <c r="AJ525" s="103"/>
    </row>
    <row r="526" customFormat="false" ht="11.25" hidden="false" customHeight="false" outlineLevel="0" collapsed="false">
      <c r="R526" s="30"/>
      <c r="S526" s="30"/>
      <c r="T526" s="30"/>
      <c r="U526" s="30"/>
      <c r="AD526" s="123"/>
      <c r="AE526" s="380"/>
      <c r="AF526" s="189"/>
      <c r="AG526" s="108"/>
      <c r="AH526" s="108"/>
      <c r="AI526" s="104"/>
      <c r="AJ526" s="103"/>
    </row>
    <row r="527" customFormat="false" ht="11.25" hidden="false" customHeight="false" outlineLevel="0" collapsed="false">
      <c r="R527" s="30"/>
      <c r="S527" s="30"/>
      <c r="T527" s="30"/>
      <c r="U527" s="30"/>
      <c r="AD527" s="123"/>
      <c r="AE527" s="380"/>
      <c r="AF527" s="189"/>
      <c r="AG527" s="108"/>
      <c r="AH527" s="108"/>
      <c r="AI527" s="104"/>
      <c r="AJ527" s="103"/>
    </row>
    <row r="528" customFormat="false" ht="11.25" hidden="false" customHeight="false" outlineLevel="0" collapsed="false">
      <c r="R528" s="30"/>
      <c r="S528" s="30"/>
      <c r="T528" s="30"/>
      <c r="U528" s="30"/>
      <c r="AD528" s="123"/>
      <c r="AE528" s="380"/>
      <c r="AF528" s="189"/>
      <c r="AG528" s="108"/>
      <c r="AH528" s="108"/>
      <c r="AI528" s="104"/>
      <c r="AJ528" s="103"/>
    </row>
    <row r="529" customFormat="false" ht="11.25" hidden="false" customHeight="false" outlineLevel="0" collapsed="false">
      <c r="R529" s="30"/>
      <c r="S529" s="30"/>
      <c r="T529" s="30"/>
      <c r="U529" s="30"/>
      <c r="AD529" s="123"/>
      <c r="AE529" s="380"/>
      <c r="AF529" s="189"/>
      <c r="AG529" s="108"/>
      <c r="AH529" s="108"/>
      <c r="AI529" s="104"/>
      <c r="AJ529" s="103"/>
    </row>
    <row r="530" customFormat="false" ht="11.25" hidden="false" customHeight="false" outlineLevel="0" collapsed="false">
      <c r="R530" s="30"/>
      <c r="S530" s="30"/>
      <c r="T530" s="30"/>
      <c r="U530" s="30"/>
      <c r="AD530" s="123"/>
      <c r="AE530" s="380"/>
      <c r="AF530" s="189"/>
      <c r="AG530" s="108"/>
      <c r="AH530" s="108"/>
      <c r="AI530" s="104"/>
      <c r="AJ530" s="103"/>
    </row>
    <row r="531" customFormat="false" ht="11.25" hidden="false" customHeight="false" outlineLevel="0" collapsed="false">
      <c r="R531" s="30"/>
      <c r="S531" s="30"/>
      <c r="T531" s="30"/>
      <c r="U531" s="30"/>
      <c r="AD531" s="123"/>
      <c r="AE531" s="380"/>
      <c r="AF531" s="189"/>
      <c r="AG531" s="108"/>
      <c r="AH531" s="108"/>
      <c r="AI531" s="104"/>
      <c r="AJ531" s="103"/>
    </row>
    <row r="532" customFormat="false" ht="11.25" hidden="false" customHeight="false" outlineLevel="0" collapsed="false">
      <c r="R532" s="30"/>
      <c r="S532" s="30"/>
      <c r="T532" s="30"/>
      <c r="U532" s="30"/>
      <c r="AD532" s="123"/>
      <c r="AE532" s="380"/>
      <c r="AF532" s="189"/>
      <c r="AG532" s="108"/>
      <c r="AH532" s="108"/>
      <c r="AI532" s="104"/>
      <c r="AJ532" s="103"/>
    </row>
    <row r="533" customFormat="false" ht="11.25" hidden="false" customHeight="false" outlineLevel="0" collapsed="false">
      <c r="R533" s="30"/>
      <c r="S533" s="30"/>
      <c r="T533" s="30"/>
      <c r="U533" s="30"/>
      <c r="AD533" s="123"/>
      <c r="AE533" s="380"/>
      <c r="AF533" s="189"/>
      <c r="AG533" s="108"/>
      <c r="AH533" s="108"/>
      <c r="AI533" s="104"/>
      <c r="AJ533" s="103"/>
    </row>
    <row r="534" customFormat="false" ht="11.25" hidden="false" customHeight="false" outlineLevel="0" collapsed="false">
      <c r="R534" s="30"/>
      <c r="S534" s="30"/>
      <c r="T534" s="30"/>
      <c r="U534" s="30"/>
      <c r="AD534" s="123"/>
      <c r="AE534" s="380"/>
      <c r="AF534" s="189"/>
      <c r="AG534" s="108"/>
      <c r="AH534" s="108"/>
      <c r="AI534" s="104"/>
      <c r="AJ534" s="103"/>
    </row>
    <row r="535" customFormat="false" ht="11.25" hidden="false" customHeight="false" outlineLevel="0" collapsed="false">
      <c r="R535" s="30"/>
      <c r="S535" s="30"/>
      <c r="T535" s="30"/>
      <c r="U535" s="30"/>
      <c r="AD535" s="123"/>
      <c r="AE535" s="380"/>
      <c r="AF535" s="189"/>
      <c r="AG535" s="108"/>
      <c r="AH535" s="108"/>
      <c r="AI535" s="104"/>
      <c r="AJ535" s="103"/>
    </row>
    <row r="536" customFormat="false" ht="11.25" hidden="false" customHeight="false" outlineLevel="0" collapsed="false">
      <c r="R536" s="30"/>
      <c r="S536" s="30"/>
      <c r="T536" s="30"/>
      <c r="U536" s="30"/>
      <c r="AD536" s="123"/>
      <c r="AE536" s="380"/>
      <c r="AF536" s="189"/>
      <c r="AG536" s="108"/>
      <c r="AH536" s="108"/>
      <c r="AI536" s="104"/>
      <c r="AJ536" s="103"/>
    </row>
    <row r="537" customFormat="false" ht="11.25" hidden="false" customHeight="false" outlineLevel="0" collapsed="false">
      <c r="R537" s="30"/>
      <c r="S537" s="30"/>
      <c r="T537" s="30"/>
      <c r="U537" s="30"/>
      <c r="AD537" s="123"/>
      <c r="AE537" s="380"/>
      <c r="AF537" s="189"/>
      <c r="AG537" s="108"/>
      <c r="AH537" s="108"/>
      <c r="AI537" s="104"/>
      <c r="AJ537" s="103"/>
    </row>
    <row r="538" customFormat="false" ht="11.25" hidden="false" customHeight="false" outlineLevel="0" collapsed="false">
      <c r="R538" s="30"/>
      <c r="S538" s="30"/>
      <c r="T538" s="30"/>
      <c r="U538" s="30"/>
      <c r="AD538" s="123"/>
      <c r="AE538" s="380"/>
      <c r="AF538" s="189"/>
      <c r="AG538" s="108"/>
      <c r="AH538" s="108"/>
      <c r="AI538" s="104"/>
      <c r="AJ538" s="103"/>
    </row>
    <row r="539" customFormat="false" ht="11.25" hidden="false" customHeight="false" outlineLevel="0" collapsed="false">
      <c r="R539" s="30"/>
      <c r="S539" s="30"/>
      <c r="T539" s="30"/>
      <c r="U539" s="30"/>
      <c r="AD539" s="123"/>
      <c r="AE539" s="380"/>
      <c r="AF539" s="189"/>
      <c r="AG539" s="108"/>
      <c r="AH539" s="108"/>
      <c r="AI539" s="104"/>
      <c r="AJ539" s="103"/>
    </row>
    <row r="540" customFormat="false" ht="11.25" hidden="false" customHeight="false" outlineLevel="0" collapsed="false">
      <c r="R540" s="30"/>
      <c r="S540" s="30"/>
      <c r="T540" s="30"/>
      <c r="U540" s="30"/>
      <c r="AD540" s="123"/>
      <c r="AE540" s="380"/>
      <c r="AF540" s="189"/>
      <c r="AG540" s="108"/>
      <c r="AH540" s="108"/>
      <c r="AI540" s="104"/>
      <c r="AJ540" s="103"/>
    </row>
    <row r="541" customFormat="false" ht="11.25" hidden="false" customHeight="false" outlineLevel="0" collapsed="false">
      <c r="R541" s="30"/>
      <c r="S541" s="30"/>
      <c r="T541" s="30"/>
      <c r="U541" s="30"/>
      <c r="AD541" s="123"/>
      <c r="AE541" s="380"/>
      <c r="AF541" s="189"/>
      <c r="AG541" s="108"/>
      <c r="AH541" s="108"/>
      <c r="AI541" s="104"/>
      <c r="AJ541" s="103"/>
    </row>
    <row r="542" customFormat="false" ht="11.25" hidden="false" customHeight="false" outlineLevel="0" collapsed="false">
      <c r="R542" s="30"/>
      <c r="S542" s="30"/>
      <c r="T542" s="30"/>
      <c r="U542" s="30"/>
      <c r="AD542" s="123"/>
      <c r="AE542" s="380"/>
      <c r="AF542" s="189"/>
      <c r="AG542" s="108"/>
      <c r="AH542" s="108"/>
      <c r="AI542" s="104"/>
      <c r="AJ542" s="103"/>
    </row>
    <row r="543" customFormat="false" ht="11.25" hidden="false" customHeight="false" outlineLevel="0" collapsed="false">
      <c r="R543" s="30"/>
      <c r="S543" s="30"/>
      <c r="T543" s="30"/>
      <c r="U543" s="30"/>
      <c r="AD543" s="123"/>
      <c r="AE543" s="380"/>
      <c r="AF543" s="189"/>
      <c r="AG543" s="108"/>
      <c r="AH543" s="108"/>
      <c r="AI543" s="104"/>
      <c r="AJ543" s="103"/>
    </row>
    <row r="544" customFormat="false" ht="11.25" hidden="false" customHeight="false" outlineLevel="0" collapsed="false">
      <c r="R544" s="30"/>
      <c r="S544" s="30"/>
      <c r="T544" s="30"/>
      <c r="U544" s="30"/>
      <c r="AD544" s="123"/>
      <c r="AE544" s="380"/>
      <c r="AF544" s="189"/>
      <c r="AG544" s="108"/>
      <c r="AH544" s="108"/>
      <c r="AI544" s="104"/>
      <c r="AJ544" s="103"/>
    </row>
    <row r="545" customFormat="false" ht="11.25" hidden="false" customHeight="false" outlineLevel="0" collapsed="false">
      <c r="R545" s="30"/>
      <c r="S545" s="30"/>
      <c r="T545" s="30"/>
      <c r="U545" s="30"/>
      <c r="AD545" s="123"/>
      <c r="AE545" s="380"/>
      <c r="AF545" s="189"/>
      <c r="AG545" s="108"/>
      <c r="AH545" s="108"/>
      <c r="AI545" s="104"/>
      <c r="AJ545" s="103"/>
    </row>
    <row r="546" customFormat="false" ht="11.25" hidden="false" customHeight="false" outlineLevel="0" collapsed="false">
      <c r="R546" s="30"/>
      <c r="S546" s="30"/>
      <c r="T546" s="30"/>
      <c r="U546" s="30"/>
      <c r="AD546" s="123"/>
      <c r="AE546" s="380"/>
      <c r="AF546" s="189"/>
      <c r="AG546" s="108"/>
      <c r="AH546" s="108"/>
      <c r="AI546" s="104"/>
      <c r="AJ546" s="103"/>
    </row>
    <row r="547" customFormat="false" ht="11.25" hidden="false" customHeight="false" outlineLevel="0" collapsed="false">
      <c r="R547" s="30"/>
      <c r="S547" s="30"/>
      <c r="T547" s="30"/>
      <c r="U547" s="30"/>
      <c r="AD547" s="123"/>
      <c r="AE547" s="380"/>
      <c r="AF547" s="189"/>
      <c r="AG547" s="108"/>
      <c r="AH547" s="108"/>
      <c r="AI547" s="104"/>
      <c r="AJ547" s="103"/>
    </row>
    <row r="548" customFormat="false" ht="11.25" hidden="false" customHeight="false" outlineLevel="0" collapsed="false">
      <c r="R548" s="30"/>
      <c r="S548" s="30"/>
      <c r="T548" s="30"/>
      <c r="U548" s="30"/>
      <c r="AD548" s="123"/>
      <c r="AE548" s="380"/>
      <c r="AF548" s="189"/>
      <c r="AG548" s="108"/>
      <c r="AH548" s="108"/>
      <c r="AI548" s="104"/>
      <c r="AJ548" s="103"/>
    </row>
    <row r="549" customFormat="false" ht="11.25" hidden="false" customHeight="false" outlineLevel="0" collapsed="false">
      <c r="R549" s="30"/>
      <c r="S549" s="30"/>
      <c r="T549" s="30"/>
      <c r="U549" s="30"/>
      <c r="AD549" s="123"/>
      <c r="AE549" s="380"/>
      <c r="AF549" s="189"/>
      <c r="AG549" s="108"/>
      <c r="AH549" s="108"/>
      <c r="AI549" s="104"/>
      <c r="AJ549" s="103"/>
    </row>
    <row r="550" customFormat="false" ht="11.25" hidden="false" customHeight="false" outlineLevel="0" collapsed="false">
      <c r="R550" s="30"/>
      <c r="S550" s="30"/>
      <c r="T550" s="30"/>
      <c r="U550" s="30"/>
      <c r="AD550" s="123"/>
      <c r="AE550" s="380"/>
      <c r="AF550" s="189"/>
      <c r="AG550" s="108"/>
      <c r="AH550" s="108"/>
      <c r="AI550" s="104"/>
      <c r="AJ550" s="103"/>
    </row>
    <row r="551" customFormat="false" ht="11.25" hidden="false" customHeight="false" outlineLevel="0" collapsed="false">
      <c r="R551" s="30"/>
      <c r="S551" s="30"/>
      <c r="T551" s="30"/>
      <c r="U551" s="30"/>
      <c r="AD551" s="123"/>
      <c r="AE551" s="380"/>
      <c r="AF551" s="189"/>
      <c r="AG551" s="108"/>
      <c r="AH551" s="108"/>
      <c r="AI551" s="104"/>
      <c r="AJ551" s="103"/>
    </row>
    <row r="552" customFormat="false" ht="11.25" hidden="false" customHeight="false" outlineLevel="0" collapsed="false">
      <c r="R552" s="30"/>
      <c r="S552" s="30"/>
      <c r="T552" s="30"/>
      <c r="U552" s="30"/>
      <c r="AD552" s="123"/>
      <c r="AE552" s="380"/>
      <c r="AF552" s="189"/>
      <c r="AG552" s="108"/>
      <c r="AH552" s="108"/>
      <c r="AI552" s="104"/>
      <c r="AJ552" s="103"/>
    </row>
    <row r="553" customFormat="false" ht="11.25" hidden="false" customHeight="false" outlineLevel="0" collapsed="false">
      <c r="R553" s="30"/>
      <c r="S553" s="30"/>
      <c r="T553" s="30"/>
      <c r="U553" s="30"/>
      <c r="AD553" s="123"/>
      <c r="AE553" s="380"/>
      <c r="AF553" s="189"/>
      <c r="AG553" s="108"/>
      <c r="AH553" s="108"/>
      <c r="AI553" s="104"/>
      <c r="AJ553" s="103"/>
    </row>
    <row r="554" customFormat="false" ht="11.25" hidden="false" customHeight="false" outlineLevel="0" collapsed="false">
      <c r="R554" s="30"/>
      <c r="S554" s="30"/>
      <c r="T554" s="30"/>
      <c r="U554" s="30"/>
      <c r="AD554" s="123"/>
      <c r="AE554" s="380"/>
      <c r="AF554" s="189"/>
      <c r="AG554" s="108"/>
      <c r="AH554" s="108"/>
      <c r="AI554" s="104"/>
      <c r="AJ554" s="103"/>
    </row>
    <row r="555" customFormat="false" ht="11.25" hidden="false" customHeight="false" outlineLevel="0" collapsed="false">
      <c r="R555" s="30"/>
      <c r="S555" s="30"/>
      <c r="T555" s="30"/>
      <c r="U555" s="30"/>
      <c r="AD555" s="123"/>
      <c r="AE555" s="380"/>
      <c r="AF555" s="189"/>
      <c r="AG555" s="108"/>
      <c r="AH555" s="108"/>
      <c r="AI555" s="104"/>
      <c r="AJ555" s="103"/>
    </row>
    <row r="556" customFormat="false" ht="11.25" hidden="false" customHeight="false" outlineLevel="0" collapsed="false">
      <c r="R556" s="30"/>
      <c r="S556" s="30"/>
      <c r="T556" s="30"/>
      <c r="U556" s="30"/>
      <c r="AD556" s="123"/>
      <c r="AE556" s="380"/>
      <c r="AF556" s="189"/>
      <c r="AG556" s="108"/>
      <c r="AH556" s="108"/>
      <c r="AI556" s="104"/>
      <c r="AJ556" s="103"/>
    </row>
    <row r="557" customFormat="false" ht="11.25" hidden="false" customHeight="false" outlineLevel="0" collapsed="false">
      <c r="R557" s="30"/>
      <c r="S557" s="30"/>
      <c r="T557" s="30"/>
      <c r="U557" s="30"/>
      <c r="AD557" s="123"/>
      <c r="AE557" s="380"/>
      <c r="AF557" s="189"/>
      <c r="AG557" s="108"/>
      <c r="AH557" s="108"/>
      <c r="AI557" s="104"/>
      <c r="AJ557" s="103"/>
    </row>
    <row r="558" customFormat="false" ht="11.25" hidden="false" customHeight="false" outlineLevel="0" collapsed="false">
      <c r="R558" s="30"/>
      <c r="S558" s="30"/>
      <c r="T558" s="30"/>
      <c r="U558" s="30"/>
      <c r="AD558" s="123"/>
      <c r="AE558" s="380"/>
      <c r="AF558" s="189"/>
      <c r="AG558" s="108"/>
      <c r="AH558" s="108"/>
      <c r="AI558" s="104"/>
      <c r="AJ558" s="103"/>
    </row>
    <row r="559" customFormat="false" ht="11.25" hidden="false" customHeight="false" outlineLevel="0" collapsed="false">
      <c r="R559" s="30"/>
      <c r="S559" s="30"/>
      <c r="T559" s="30"/>
      <c r="U559" s="30"/>
      <c r="AD559" s="123"/>
      <c r="AE559" s="380"/>
      <c r="AF559" s="189"/>
      <c r="AG559" s="108"/>
      <c r="AH559" s="108"/>
      <c r="AI559" s="104"/>
      <c r="AJ559" s="103"/>
    </row>
    <row r="560" customFormat="false" ht="11.25" hidden="false" customHeight="false" outlineLevel="0" collapsed="false">
      <c r="R560" s="30"/>
      <c r="S560" s="30"/>
      <c r="T560" s="30"/>
      <c r="U560" s="30"/>
      <c r="AD560" s="123"/>
      <c r="AE560" s="380"/>
      <c r="AF560" s="189"/>
      <c r="AG560" s="108"/>
      <c r="AH560" s="108"/>
      <c r="AI560" s="104"/>
      <c r="AJ560" s="103"/>
    </row>
    <row r="561" customFormat="false" ht="11.25" hidden="false" customHeight="false" outlineLevel="0" collapsed="false">
      <c r="R561" s="30"/>
      <c r="S561" s="30"/>
      <c r="T561" s="30"/>
      <c r="U561" s="30"/>
      <c r="AD561" s="123"/>
      <c r="AE561" s="380"/>
      <c r="AF561" s="189"/>
      <c r="AG561" s="108"/>
      <c r="AH561" s="108"/>
      <c r="AI561" s="104"/>
      <c r="AJ561" s="103"/>
    </row>
    <row r="562" customFormat="false" ht="11.25" hidden="false" customHeight="false" outlineLevel="0" collapsed="false">
      <c r="R562" s="30"/>
      <c r="S562" s="30"/>
      <c r="T562" s="30"/>
      <c r="U562" s="30"/>
      <c r="AD562" s="123"/>
      <c r="AE562" s="380"/>
      <c r="AF562" s="189"/>
      <c r="AG562" s="108"/>
      <c r="AH562" s="108"/>
      <c r="AI562" s="104"/>
      <c r="AJ562" s="103"/>
    </row>
    <row r="563" customFormat="false" ht="11.25" hidden="false" customHeight="false" outlineLevel="0" collapsed="false">
      <c r="R563" s="30"/>
      <c r="S563" s="30"/>
      <c r="T563" s="30"/>
      <c r="U563" s="30"/>
      <c r="AD563" s="123"/>
      <c r="AE563" s="380"/>
      <c r="AF563" s="189"/>
      <c r="AG563" s="108"/>
      <c r="AH563" s="108"/>
      <c r="AI563" s="104"/>
      <c r="AJ563" s="103"/>
    </row>
    <row r="564" customFormat="false" ht="11.25" hidden="false" customHeight="false" outlineLevel="0" collapsed="false">
      <c r="R564" s="30"/>
      <c r="S564" s="30"/>
      <c r="T564" s="30"/>
      <c r="U564" s="30"/>
      <c r="AD564" s="123"/>
      <c r="AE564" s="380"/>
      <c r="AF564" s="189"/>
      <c r="AG564" s="108"/>
      <c r="AH564" s="108"/>
      <c r="AI564" s="104"/>
      <c r="AJ564" s="103"/>
    </row>
    <row r="565" customFormat="false" ht="11.25" hidden="false" customHeight="false" outlineLevel="0" collapsed="false">
      <c r="R565" s="30"/>
      <c r="S565" s="30"/>
      <c r="T565" s="30"/>
      <c r="U565" s="30"/>
      <c r="AD565" s="123"/>
      <c r="AE565" s="380"/>
      <c r="AF565" s="189"/>
      <c r="AG565" s="108"/>
      <c r="AH565" s="108"/>
      <c r="AI565" s="104"/>
      <c r="AJ565" s="103"/>
    </row>
    <row r="566" customFormat="false" ht="11.25" hidden="false" customHeight="false" outlineLevel="0" collapsed="false">
      <c r="R566" s="30"/>
      <c r="S566" s="30"/>
      <c r="T566" s="30"/>
      <c r="U566" s="30"/>
      <c r="AD566" s="123"/>
      <c r="AE566" s="380"/>
      <c r="AF566" s="189"/>
      <c r="AG566" s="108"/>
      <c r="AH566" s="108"/>
      <c r="AI566" s="104"/>
      <c r="AJ566" s="103"/>
    </row>
    <row r="567" customFormat="false" ht="11.25" hidden="false" customHeight="false" outlineLevel="0" collapsed="false">
      <c r="R567" s="30"/>
      <c r="S567" s="30"/>
      <c r="T567" s="30"/>
      <c r="U567" s="30"/>
      <c r="AD567" s="123"/>
      <c r="AE567" s="380"/>
      <c r="AF567" s="189"/>
      <c r="AG567" s="108"/>
      <c r="AH567" s="108"/>
      <c r="AI567" s="104"/>
      <c r="AJ567" s="103"/>
    </row>
    <row r="568" customFormat="false" ht="11.25" hidden="false" customHeight="false" outlineLevel="0" collapsed="false">
      <c r="R568" s="30"/>
      <c r="S568" s="30"/>
      <c r="T568" s="30"/>
      <c r="U568" s="30"/>
      <c r="AD568" s="123"/>
      <c r="AE568" s="380"/>
      <c r="AF568" s="189"/>
      <c r="AG568" s="108"/>
      <c r="AH568" s="108"/>
      <c r="AI568" s="104"/>
      <c r="AJ568" s="103"/>
    </row>
    <row r="569" customFormat="false" ht="11.25" hidden="false" customHeight="false" outlineLevel="0" collapsed="false">
      <c r="R569" s="30"/>
      <c r="S569" s="30"/>
      <c r="T569" s="30"/>
      <c r="U569" s="30"/>
      <c r="AD569" s="123"/>
      <c r="AE569" s="380"/>
      <c r="AF569" s="189"/>
      <c r="AG569" s="108"/>
      <c r="AH569" s="108"/>
      <c r="AI569" s="104"/>
      <c r="AJ569" s="103"/>
    </row>
    <row r="570" customFormat="false" ht="11.25" hidden="false" customHeight="false" outlineLevel="0" collapsed="false">
      <c r="R570" s="30"/>
      <c r="S570" s="30"/>
      <c r="T570" s="30"/>
      <c r="U570" s="30"/>
      <c r="AD570" s="123"/>
      <c r="AE570" s="380"/>
      <c r="AF570" s="189"/>
      <c r="AG570" s="108"/>
      <c r="AH570" s="108"/>
      <c r="AI570" s="104"/>
      <c r="AJ570" s="103"/>
    </row>
    <row r="571" customFormat="false" ht="11.25" hidden="false" customHeight="false" outlineLevel="0" collapsed="false">
      <c r="R571" s="30"/>
      <c r="S571" s="30"/>
      <c r="T571" s="30"/>
      <c r="U571" s="30"/>
      <c r="AD571" s="123"/>
      <c r="AE571" s="380"/>
      <c r="AF571" s="189"/>
      <c r="AG571" s="108"/>
      <c r="AH571" s="108"/>
      <c r="AI571" s="104"/>
      <c r="AJ571" s="103"/>
    </row>
    <row r="572" customFormat="false" ht="11.25" hidden="false" customHeight="false" outlineLevel="0" collapsed="false">
      <c r="R572" s="30"/>
      <c r="S572" s="30"/>
      <c r="T572" s="30"/>
      <c r="U572" s="30"/>
      <c r="AD572" s="123"/>
      <c r="AE572" s="380"/>
      <c r="AF572" s="189"/>
      <c r="AG572" s="108"/>
      <c r="AH572" s="108"/>
      <c r="AI572" s="104"/>
      <c r="AJ572" s="103"/>
    </row>
    <row r="573" customFormat="false" ht="11.25" hidden="false" customHeight="false" outlineLevel="0" collapsed="false">
      <c r="R573" s="30"/>
      <c r="S573" s="30"/>
      <c r="T573" s="30"/>
      <c r="U573" s="30"/>
      <c r="AD573" s="123"/>
      <c r="AE573" s="380"/>
      <c r="AF573" s="189"/>
      <c r="AG573" s="108"/>
      <c r="AH573" s="108"/>
      <c r="AI573" s="104"/>
      <c r="AJ573" s="103"/>
    </row>
    <row r="574" customFormat="false" ht="11.25" hidden="false" customHeight="false" outlineLevel="0" collapsed="false">
      <c r="R574" s="30"/>
      <c r="S574" s="30"/>
      <c r="T574" s="30"/>
      <c r="U574" s="30"/>
      <c r="AD574" s="123"/>
      <c r="AE574" s="380"/>
      <c r="AF574" s="189"/>
      <c r="AG574" s="108"/>
      <c r="AH574" s="108"/>
      <c r="AI574" s="104"/>
      <c r="AJ574" s="103"/>
    </row>
    <row r="575" customFormat="false" ht="11.25" hidden="false" customHeight="false" outlineLevel="0" collapsed="false">
      <c r="R575" s="30"/>
      <c r="S575" s="30"/>
      <c r="T575" s="30"/>
      <c r="U575" s="30"/>
      <c r="AD575" s="123"/>
      <c r="AE575" s="380"/>
      <c r="AF575" s="189"/>
      <c r="AG575" s="108"/>
      <c r="AH575" s="108"/>
      <c r="AI575" s="104"/>
      <c r="AJ575" s="103"/>
    </row>
    <row r="576" customFormat="false" ht="11.25" hidden="false" customHeight="false" outlineLevel="0" collapsed="false">
      <c r="R576" s="30"/>
      <c r="S576" s="30"/>
      <c r="T576" s="30"/>
      <c r="U576" s="30"/>
      <c r="AD576" s="123"/>
      <c r="AE576" s="380"/>
      <c r="AF576" s="189"/>
      <c r="AG576" s="108"/>
      <c r="AH576" s="108"/>
      <c r="AI576" s="104"/>
      <c r="AJ576" s="103"/>
    </row>
    <row r="577" customFormat="false" ht="11.25" hidden="false" customHeight="false" outlineLevel="0" collapsed="false">
      <c r="R577" s="30"/>
      <c r="S577" s="30"/>
      <c r="T577" s="30"/>
      <c r="U577" s="30"/>
      <c r="AD577" s="123"/>
      <c r="AE577" s="380"/>
      <c r="AF577" s="189"/>
      <c r="AG577" s="108"/>
      <c r="AH577" s="108"/>
      <c r="AI577" s="104"/>
      <c r="AJ577" s="103"/>
    </row>
    <row r="578" customFormat="false" ht="11.25" hidden="false" customHeight="false" outlineLevel="0" collapsed="false">
      <c r="R578" s="30"/>
      <c r="S578" s="30"/>
      <c r="T578" s="30"/>
      <c r="U578" s="30"/>
      <c r="AD578" s="123"/>
      <c r="AE578" s="380"/>
      <c r="AF578" s="189"/>
      <c r="AG578" s="108"/>
      <c r="AH578" s="108"/>
      <c r="AI578" s="104"/>
      <c r="AJ578" s="103"/>
    </row>
    <row r="579" customFormat="false" ht="11.25" hidden="false" customHeight="false" outlineLevel="0" collapsed="false">
      <c r="R579" s="30"/>
      <c r="S579" s="30"/>
      <c r="T579" s="30"/>
      <c r="U579" s="30"/>
      <c r="AD579" s="123"/>
      <c r="AE579" s="380"/>
      <c r="AF579" s="189"/>
      <c r="AG579" s="108"/>
      <c r="AH579" s="108"/>
      <c r="AI579" s="104"/>
      <c r="AJ579" s="103"/>
    </row>
    <row r="580" customFormat="false" ht="11.25" hidden="false" customHeight="false" outlineLevel="0" collapsed="false">
      <c r="R580" s="30"/>
      <c r="S580" s="30"/>
      <c r="T580" s="30"/>
      <c r="U580" s="30"/>
      <c r="AD580" s="123"/>
      <c r="AE580" s="380"/>
      <c r="AF580" s="189"/>
      <c r="AG580" s="108"/>
      <c r="AH580" s="108"/>
      <c r="AI580" s="104"/>
      <c r="AJ580" s="103"/>
    </row>
    <row r="581" customFormat="false" ht="11.25" hidden="false" customHeight="false" outlineLevel="0" collapsed="false">
      <c r="R581" s="30"/>
      <c r="S581" s="30"/>
      <c r="T581" s="30"/>
      <c r="U581" s="30"/>
      <c r="AD581" s="123"/>
      <c r="AE581" s="380"/>
      <c r="AF581" s="189"/>
      <c r="AG581" s="108"/>
      <c r="AH581" s="108"/>
      <c r="AI581" s="104"/>
      <c r="AJ581" s="103"/>
    </row>
    <row r="582" customFormat="false" ht="11.25" hidden="false" customHeight="false" outlineLevel="0" collapsed="false">
      <c r="R582" s="30"/>
      <c r="S582" s="30"/>
      <c r="T582" s="30"/>
      <c r="U582" s="30"/>
      <c r="AD582" s="123"/>
      <c r="AE582" s="380"/>
      <c r="AF582" s="189"/>
      <c r="AG582" s="108"/>
      <c r="AH582" s="108"/>
      <c r="AI582" s="104"/>
      <c r="AJ582" s="103"/>
    </row>
    <row r="583" customFormat="false" ht="11.25" hidden="false" customHeight="false" outlineLevel="0" collapsed="false">
      <c r="R583" s="30"/>
      <c r="S583" s="30"/>
      <c r="T583" s="30"/>
      <c r="U583" s="30"/>
      <c r="AD583" s="123"/>
      <c r="AE583" s="380"/>
      <c r="AF583" s="189"/>
      <c r="AG583" s="108"/>
      <c r="AH583" s="108"/>
      <c r="AI583" s="104"/>
      <c r="AJ583" s="103"/>
    </row>
    <row r="584" customFormat="false" ht="11.25" hidden="false" customHeight="false" outlineLevel="0" collapsed="false">
      <c r="R584" s="30"/>
      <c r="S584" s="30"/>
      <c r="T584" s="30"/>
      <c r="U584" s="30"/>
      <c r="AD584" s="123"/>
      <c r="AE584" s="380"/>
      <c r="AF584" s="189"/>
      <c r="AG584" s="108"/>
      <c r="AH584" s="108"/>
      <c r="AI584" s="104"/>
      <c r="AJ584" s="103"/>
    </row>
    <row r="585" customFormat="false" ht="11.25" hidden="false" customHeight="false" outlineLevel="0" collapsed="false">
      <c r="R585" s="30"/>
      <c r="S585" s="30"/>
      <c r="T585" s="30"/>
      <c r="U585" s="30"/>
      <c r="AD585" s="123"/>
      <c r="AE585" s="380"/>
      <c r="AF585" s="189"/>
      <c r="AG585" s="108"/>
      <c r="AH585" s="108"/>
      <c r="AI585" s="104"/>
      <c r="AJ585" s="103"/>
    </row>
    <row r="586" customFormat="false" ht="11.25" hidden="false" customHeight="false" outlineLevel="0" collapsed="false">
      <c r="R586" s="30"/>
      <c r="S586" s="30"/>
      <c r="T586" s="30"/>
      <c r="U586" s="30"/>
      <c r="AD586" s="123"/>
      <c r="AE586" s="380"/>
      <c r="AF586" s="189"/>
      <c r="AG586" s="108"/>
      <c r="AH586" s="108"/>
      <c r="AI586" s="104"/>
      <c r="AJ586" s="103"/>
    </row>
    <row r="587" customFormat="false" ht="11.25" hidden="false" customHeight="false" outlineLevel="0" collapsed="false">
      <c r="R587" s="30"/>
      <c r="S587" s="30"/>
      <c r="T587" s="30"/>
      <c r="U587" s="30"/>
      <c r="AD587" s="123"/>
      <c r="AE587" s="380"/>
      <c r="AF587" s="189"/>
      <c r="AG587" s="108"/>
      <c r="AH587" s="108"/>
      <c r="AI587" s="104"/>
      <c r="AJ587" s="103"/>
    </row>
    <row r="588" customFormat="false" ht="11.25" hidden="false" customHeight="false" outlineLevel="0" collapsed="false">
      <c r="R588" s="30"/>
      <c r="S588" s="30"/>
      <c r="T588" s="30"/>
      <c r="U588" s="30"/>
      <c r="AD588" s="123"/>
      <c r="AE588" s="380"/>
      <c r="AF588" s="189"/>
      <c r="AG588" s="108"/>
      <c r="AH588" s="108"/>
      <c r="AI588" s="104"/>
      <c r="AJ588" s="103"/>
    </row>
    <row r="589" customFormat="false" ht="11.25" hidden="false" customHeight="false" outlineLevel="0" collapsed="false">
      <c r="R589" s="30"/>
      <c r="S589" s="30"/>
      <c r="T589" s="30"/>
      <c r="U589" s="30"/>
      <c r="AD589" s="123"/>
      <c r="AE589" s="380"/>
      <c r="AF589" s="189"/>
      <c r="AG589" s="108"/>
      <c r="AH589" s="108"/>
      <c r="AI589" s="104"/>
      <c r="AJ589" s="103"/>
    </row>
    <row r="590" customFormat="false" ht="11.25" hidden="false" customHeight="false" outlineLevel="0" collapsed="false">
      <c r="R590" s="30"/>
      <c r="S590" s="30"/>
      <c r="T590" s="30"/>
      <c r="U590" s="30"/>
      <c r="AD590" s="123"/>
      <c r="AE590" s="380"/>
      <c r="AF590" s="189"/>
      <c r="AG590" s="108"/>
      <c r="AH590" s="108"/>
      <c r="AI590" s="104"/>
      <c r="AJ590" s="103"/>
    </row>
    <row r="591" customFormat="false" ht="11.25" hidden="false" customHeight="false" outlineLevel="0" collapsed="false">
      <c r="R591" s="30"/>
      <c r="S591" s="30"/>
      <c r="T591" s="30"/>
      <c r="U591" s="30"/>
      <c r="AD591" s="123"/>
      <c r="AE591" s="380"/>
      <c r="AF591" s="189"/>
      <c r="AG591" s="108"/>
      <c r="AH591" s="108"/>
      <c r="AI591" s="104"/>
      <c r="AJ591" s="103"/>
    </row>
    <row r="592" customFormat="false" ht="11.25" hidden="false" customHeight="false" outlineLevel="0" collapsed="false">
      <c r="R592" s="30"/>
      <c r="S592" s="30"/>
      <c r="T592" s="30"/>
      <c r="U592" s="30"/>
      <c r="AD592" s="123"/>
      <c r="AE592" s="380"/>
      <c r="AF592" s="189"/>
      <c r="AG592" s="108"/>
      <c r="AH592" s="108"/>
      <c r="AI592" s="104"/>
      <c r="AJ592" s="103"/>
    </row>
    <row r="593" customFormat="false" ht="11.25" hidden="false" customHeight="false" outlineLevel="0" collapsed="false">
      <c r="R593" s="30"/>
      <c r="S593" s="30"/>
      <c r="T593" s="30"/>
      <c r="U593" s="30"/>
      <c r="AD593" s="123"/>
      <c r="AE593" s="380"/>
      <c r="AF593" s="189"/>
      <c r="AG593" s="108"/>
      <c r="AH593" s="108"/>
      <c r="AI593" s="104"/>
      <c r="AJ593" s="103"/>
    </row>
    <row r="594" customFormat="false" ht="11.25" hidden="false" customHeight="false" outlineLevel="0" collapsed="false">
      <c r="R594" s="30"/>
      <c r="S594" s="30"/>
      <c r="T594" s="30"/>
      <c r="U594" s="30"/>
      <c r="AD594" s="123"/>
      <c r="AE594" s="380"/>
      <c r="AF594" s="189"/>
      <c r="AG594" s="108"/>
      <c r="AH594" s="108"/>
      <c r="AI594" s="104"/>
      <c r="AJ594" s="103"/>
    </row>
    <row r="595" customFormat="false" ht="11.25" hidden="false" customHeight="false" outlineLevel="0" collapsed="false">
      <c r="R595" s="30"/>
      <c r="S595" s="30"/>
      <c r="T595" s="30"/>
      <c r="U595" s="30"/>
      <c r="AD595" s="123"/>
      <c r="AE595" s="380"/>
      <c r="AF595" s="189"/>
      <c r="AG595" s="108"/>
      <c r="AH595" s="108"/>
      <c r="AI595" s="104"/>
      <c r="AJ595" s="103"/>
    </row>
    <row r="596" customFormat="false" ht="11.25" hidden="false" customHeight="false" outlineLevel="0" collapsed="false">
      <c r="R596" s="30"/>
      <c r="S596" s="30"/>
      <c r="T596" s="30"/>
      <c r="U596" s="30"/>
      <c r="AD596" s="123"/>
      <c r="AE596" s="380"/>
      <c r="AF596" s="189"/>
      <c r="AG596" s="108"/>
      <c r="AH596" s="108"/>
      <c r="AI596" s="104"/>
      <c r="AJ596" s="103"/>
    </row>
    <row r="597" customFormat="false" ht="11.25" hidden="false" customHeight="false" outlineLevel="0" collapsed="false">
      <c r="R597" s="30"/>
      <c r="S597" s="30"/>
      <c r="T597" s="30"/>
      <c r="U597" s="30"/>
      <c r="AD597" s="123"/>
      <c r="AE597" s="380"/>
      <c r="AF597" s="189"/>
      <c r="AG597" s="108"/>
      <c r="AH597" s="108"/>
      <c r="AI597" s="104"/>
      <c r="AJ597" s="103"/>
    </row>
    <row r="598" customFormat="false" ht="11.25" hidden="false" customHeight="false" outlineLevel="0" collapsed="false">
      <c r="R598" s="30"/>
      <c r="S598" s="30"/>
      <c r="T598" s="30"/>
      <c r="U598" s="30"/>
      <c r="AD598" s="123"/>
      <c r="AE598" s="380"/>
      <c r="AF598" s="189"/>
      <c r="AG598" s="108"/>
      <c r="AH598" s="108"/>
      <c r="AI598" s="104"/>
      <c r="AJ598" s="103"/>
    </row>
    <row r="599" customFormat="false" ht="11.25" hidden="false" customHeight="false" outlineLevel="0" collapsed="false">
      <c r="R599" s="30"/>
      <c r="S599" s="30"/>
      <c r="T599" s="30"/>
      <c r="U599" s="30"/>
      <c r="AD599" s="123"/>
      <c r="AE599" s="380"/>
      <c r="AF599" s="108"/>
      <c r="AG599" s="108"/>
      <c r="AH599" s="108"/>
      <c r="AI599" s="104"/>
      <c r="AJ599" s="103"/>
    </row>
    <row r="600" customFormat="false" ht="11.25" hidden="false" customHeight="false" outlineLevel="0" collapsed="false">
      <c r="R600" s="30"/>
      <c r="S600" s="30"/>
      <c r="T600" s="30"/>
      <c r="U600" s="30"/>
      <c r="AD600" s="123"/>
      <c r="AE600" s="380"/>
      <c r="AF600" s="108"/>
      <c r="AG600" s="108"/>
      <c r="AH600" s="108"/>
      <c r="AI600" s="104"/>
      <c r="AJ600" s="103"/>
    </row>
    <row r="601" customFormat="false" ht="11.25" hidden="false" customHeight="false" outlineLevel="0" collapsed="false">
      <c r="R601" s="30"/>
      <c r="S601" s="30"/>
      <c r="T601" s="30"/>
      <c r="U601" s="30"/>
      <c r="AD601" s="123"/>
      <c r="AE601" s="380"/>
      <c r="AF601" s="108"/>
      <c r="AG601" s="108"/>
      <c r="AH601" s="108"/>
      <c r="AI601" s="104"/>
      <c r="AJ601" s="103"/>
    </row>
    <row r="602" customFormat="false" ht="11.25" hidden="false" customHeight="false" outlineLevel="0" collapsed="false">
      <c r="R602" s="30"/>
      <c r="S602" s="30"/>
      <c r="T602" s="30"/>
      <c r="U602" s="30"/>
      <c r="AD602" s="123"/>
      <c r="AE602" s="380"/>
      <c r="AF602" s="189"/>
      <c r="AG602" s="108"/>
      <c r="AH602" s="108"/>
      <c r="AI602" s="104"/>
      <c r="AJ602" s="103"/>
    </row>
    <row r="603" customFormat="false" ht="11.25" hidden="false" customHeight="false" outlineLevel="0" collapsed="false">
      <c r="R603" s="30"/>
      <c r="S603" s="30"/>
      <c r="T603" s="30"/>
      <c r="U603" s="30"/>
      <c r="AD603" s="123"/>
      <c r="AE603" s="380"/>
      <c r="AF603" s="189"/>
      <c r="AG603" s="108"/>
      <c r="AH603" s="108"/>
      <c r="AI603" s="104"/>
      <c r="AJ603" s="103"/>
    </row>
    <row r="604" customFormat="false" ht="11.25" hidden="false" customHeight="false" outlineLevel="0" collapsed="false">
      <c r="R604" s="30"/>
      <c r="S604" s="30"/>
      <c r="T604" s="30"/>
      <c r="U604" s="30"/>
      <c r="AD604" s="123"/>
      <c r="AE604" s="380"/>
      <c r="AF604" s="189"/>
      <c r="AG604" s="108"/>
      <c r="AH604" s="108"/>
      <c r="AI604" s="104"/>
      <c r="AJ604" s="103"/>
    </row>
    <row r="605" customFormat="false" ht="11.25" hidden="false" customHeight="false" outlineLevel="0" collapsed="false">
      <c r="R605" s="30"/>
      <c r="S605" s="30"/>
      <c r="T605" s="30"/>
      <c r="U605" s="30"/>
      <c r="AD605" s="123"/>
      <c r="AE605" s="380"/>
      <c r="AF605" s="108"/>
      <c r="AG605" s="108"/>
      <c r="AH605" s="108"/>
      <c r="AI605" s="104"/>
      <c r="AJ605" s="103"/>
    </row>
    <row r="606" customFormat="false" ht="11.25" hidden="false" customHeight="false" outlineLevel="0" collapsed="false">
      <c r="R606" s="30"/>
      <c r="S606" s="30"/>
      <c r="T606" s="30"/>
      <c r="U606" s="30"/>
      <c r="AD606" s="123"/>
      <c r="AE606" s="380"/>
      <c r="AF606" s="108"/>
      <c r="AG606" s="108"/>
      <c r="AH606" s="108"/>
      <c r="AI606" s="104"/>
      <c r="AJ606" s="103"/>
    </row>
    <row r="607" customFormat="false" ht="11.25" hidden="false" customHeight="false" outlineLevel="0" collapsed="false">
      <c r="R607" s="30"/>
      <c r="S607" s="30"/>
      <c r="T607" s="30"/>
      <c r="U607" s="30"/>
      <c r="AD607" s="123"/>
      <c r="AE607" s="380"/>
      <c r="AF607" s="189"/>
      <c r="AG607" s="108"/>
      <c r="AH607" s="108"/>
      <c r="AI607" s="104"/>
      <c r="AJ607" s="103"/>
    </row>
    <row r="608" customFormat="false" ht="11.25" hidden="false" customHeight="false" outlineLevel="0" collapsed="false">
      <c r="R608" s="30"/>
      <c r="S608" s="30"/>
      <c r="T608" s="30"/>
      <c r="U608" s="30"/>
      <c r="AD608" s="123"/>
      <c r="AE608" s="380"/>
      <c r="AF608" s="189"/>
      <c r="AG608" s="108"/>
      <c r="AH608" s="108"/>
      <c r="AI608" s="104"/>
      <c r="AJ608" s="103"/>
    </row>
    <row r="609" customFormat="false" ht="11.25" hidden="false" customHeight="false" outlineLevel="0" collapsed="false">
      <c r="R609" s="30"/>
      <c r="S609" s="30"/>
      <c r="T609" s="30"/>
      <c r="U609" s="30"/>
      <c r="AD609" s="123"/>
      <c r="AE609" s="380"/>
      <c r="AF609" s="189"/>
      <c r="AG609" s="108"/>
      <c r="AH609" s="108"/>
      <c r="AI609" s="104"/>
      <c r="AJ609" s="103"/>
    </row>
    <row r="610" customFormat="false" ht="11.25" hidden="false" customHeight="false" outlineLevel="0" collapsed="false">
      <c r="R610" s="30"/>
      <c r="S610" s="30"/>
      <c r="T610" s="30"/>
      <c r="U610" s="30"/>
      <c r="AD610" s="123"/>
      <c r="AE610" s="380"/>
      <c r="AF610" s="189"/>
      <c r="AG610" s="108"/>
      <c r="AH610" s="108"/>
      <c r="AI610" s="104"/>
      <c r="AJ610" s="103"/>
    </row>
    <row r="611" customFormat="false" ht="11.25" hidden="false" customHeight="false" outlineLevel="0" collapsed="false">
      <c r="R611" s="30"/>
      <c r="S611" s="30"/>
      <c r="T611" s="30"/>
      <c r="U611" s="30"/>
      <c r="AD611" s="123"/>
      <c r="AE611" s="380"/>
      <c r="AF611" s="108"/>
      <c r="AG611" s="108"/>
      <c r="AH611" s="108"/>
      <c r="AI611" s="104"/>
      <c r="AJ611" s="103"/>
    </row>
    <row r="612" customFormat="false" ht="11.25" hidden="false" customHeight="false" outlineLevel="0" collapsed="false">
      <c r="R612" s="30"/>
      <c r="S612" s="30"/>
      <c r="T612" s="30"/>
      <c r="U612" s="30"/>
      <c r="AD612" s="123"/>
      <c r="AE612" s="380"/>
      <c r="AF612" s="108"/>
      <c r="AG612" s="108"/>
      <c r="AH612" s="108"/>
      <c r="AI612" s="104"/>
      <c r="AJ612" s="103"/>
    </row>
    <row r="613" customFormat="false" ht="11.25" hidden="false" customHeight="false" outlineLevel="0" collapsed="false">
      <c r="R613" s="30"/>
      <c r="S613" s="30"/>
      <c r="T613" s="30"/>
      <c r="U613" s="30"/>
      <c r="AD613" s="123"/>
      <c r="AE613" s="380"/>
      <c r="AF613" s="189"/>
      <c r="AG613" s="108"/>
      <c r="AH613" s="108"/>
      <c r="AI613" s="104"/>
      <c r="AJ613" s="103"/>
    </row>
    <row r="614" customFormat="false" ht="11.25" hidden="false" customHeight="false" outlineLevel="0" collapsed="false">
      <c r="R614" s="30"/>
      <c r="S614" s="30"/>
      <c r="T614" s="30"/>
      <c r="U614" s="30"/>
      <c r="AD614" s="123"/>
      <c r="AE614" s="380"/>
      <c r="AF614" s="108"/>
      <c r="AG614" s="108"/>
      <c r="AH614" s="108"/>
      <c r="AI614" s="104"/>
      <c r="AJ614" s="103"/>
    </row>
    <row r="615" customFormat="false" ht="11.25" hidden="false" customHeight="false" outlineLevel="0" collapsed="false">
      <c r="R615" s="30"/>
      <c r="S615" s="30"/>
      <c r="T615" s="30"/>
      <c r="U615" s="30"/>
      <c r="AD615" s="123"/>
      <c r="AE615" s="380"/>
      <c r="AF615" s="189"/>
      <c r="AG615" s="108"/>
      <c r="AH615" s="108"/>
      <c r="AI615" s="104"/>
      <c r="AJ615" s="103"/>
      <c r="AK615" s="132"/>
    </row>
    <row r="616" customFormat="false" ht="11.25" hidden="false" customHeight="false" outlineLevel="0" collapsed="false">
      <c r="R616" s="30"/>
      <c r="S616" s="30"/>
      <c r="T616" s="30"/>
      <c r="U616" s="30"/>
      <c r="AD616" s="123"/>
      <c r="AE616" s="380"/>
      <c r="AF616" s="189"/>
      <c r="AG616" s="108"/>
      <c r="AH616" s="108"/>
      <c r="AI616" s="104"/>
      <c r="AJ616" s="103"/>
      <c r="AK616" s="132"/>
    </row>
    <row r="617" customFormat="false" ht="11.25" hidden="false" customHeight="false" outlineLevel="0" collapsed="false">
      <c r="R617" s="30"/>
      <c r="S617" s="30"/>
      <c r="T617" s="30"/>
      <c r="U617" s="30"/>
      <c r="AD617" s="123"/>
      <c r="AE617" s="380"/>
      <c r="AF617" s="108"/>
      <c r="AG617" s="108"/>
      <c r="AH617" s="108"/>
      <c r="AI617" s="104"/>
      <c r="AJ617" s="103"/>
    </row>
    <row r="618" customFormat="false" ht="11.25" hidden="false" customHeight="false" outlineLevel="0" collapsed="false">
      <c r="R618" s="30"/>
      <c r="S618" s="30"/>
      <c r="T618" s="30"/>
      <c r="U618" s="30"/>
      <c r="AD618" s="123"/>
      <c r="AE618" s="380"/>
      <c r="AF618" s="108"/>
      <c r="AG618" s="108"/>
      <c r="AH618" s="108"/>
      <c r="AI618" s="104"/>
      <c r="AJ618" s="103"/>
    </row>
    <row r="619" customFormat="false" ht="11.25" hidden="false" customHeight="false" outlineLevel="0" collapsed="false">
      <c r="R619" s="30"/>
      <c r="S619" s="30"/>
      <c r="T619" s="30"/>
      <c r="U619" s="30"/>
      <c r="AD619" s="123"/>
      <c r="AE619" s="380"/>
      <c r="AF619" s="108"/>
      <c r="AG619" s="108"/>
      <c r="AH619" s="108"/>
      <c r="AI619" s="104"/>
      <c r="AJ619" s="103"/>
    </row>
    <row r="620" customFormat="false" ht="11.25" hidden="false" customHeight="false" outlineLevel="0" collapsed="false">
      <c r="R620" s="30"/>
      <c r="S620" s="30"/>
      <c r="T620" s="30"/>
      <c r="U620" s="30"/>
      <c r="AD620" s="123"/>
      <c r="AE620" s="380"/>
      <c r="AF620" s="189"/>
      <c r="AG620" s="108"/>
      <c r="AH620" s="108"/>
      <c r="AI620" s="104"/>
      <c r="AJ620" s="103"/>
      <c r="AK620" s="132"/>
    </row>
    <row r="621" customFormat="false" ht="11.25" hidden="false" customHeight="false" outlineLevel="0" collapsed="false">
      <c r="R621" s="30"/>
      <c r="S621" s="30"/>
      <c r="T621" s="30"/>
      <c r="U621" s="30"/>
      <c r="AD621" s="123"/>
      <c r="AE621" s="380"/>
      <c r="AF621" s="189"/>
      <c r="AG621" s="108"/>
      <c r="AH621" s="108"/>
      <c r="AI621" s="104"/>
      <c r="AJ621" s="103"/>
      <c r="AK621" s="132"/>
    </row>
    <row r="622" customFormat="false" ht="11.25" hidden="false" customHeight="false" outlineLevel="0" collapsed="false">
      <c r="R622" s="30"/>
      <c r="S622" s="30"/>
      <c r="T622" s="30"/>
      <c r="U622" s="30"/>
      <c r="AD622" s="123"/>
      <c r="AE622" s="380"/>
      <c r="AF622" s="108"/>
      <c r="AG622" s="108"/>
      <c r="AH622" s="108"/>
      <c r="AI622" s="104"/>
      <c r="AJ622" s="103"/>
    </row>
    <row r="623" customFormat="false" ht="11.25" hidden="false" customHeight="false" outlineLevel="0" collapsed="false">
      <c r="R623" s="30"/>
      <c r="S623" s="30"/>
      <c r="T623" s="30"/>
      <c r="U623" s="30"/>
      <c r="AD623" s="123"/>
      <c r="AE623" s="380"/>
      <c r="AF623" s="108"/>
      <c r="AG623" s="108"/>
      <c r="AH623" s="108"/>
      <c r="AI623" s="104"/>
      <c r="AJ623" s="103"/>
    </row>
    <row r="624" customFormat="false" ht="11.25" hidden="false" customHeight="false" outlineLevel="0" collapsed="false">
      <c r="R624" s="30"/>
      <c r="S624" s="30"/>
      <c r="T624" s="30"/>
      <c r="U624" s="30"/>
      <c r="AD624" s="123"/>
      <c r="AE624" s="380"/>
      <c r="AF624" s="108"/>
      <c r="AG624" s="108"/>
      <c r="AH624" s="108"/>
      <c r="AI624" s="104"/>
      <c r="AJ624" s="103"/>
    </row>
    <row r="625" customFormat="false" ht="11.25" hidden="false" customHeight="false" outlineLevel="0" collapsed="false">
      <c r="R625" s="30"/>
      <c r="S625" s="30"/>
      <c r="T625" s="30"/>
      <c r="U625" s="30"/>
      <c r="AD625" s="123"/>
      <c r="AE625" s="380"/>
      <c r="AF625" s="108"/>
      <c r="AG625" s="108"/>
      <c r="AH625" s="108"/>
      <c r="AI625" s="104"/>
      <c r="AJ625" s="103"/>
    </row>
    <row r="626" customFormat="false" ht="11.25" hidden="false" customHeight="false" outlineLevel="0" collapsed="false">
      <c r="R626" s="30"/>
      <c r="S626" s="30"/>
      <c r="T626" s="30"/>
      <c r="U626" s="30"/>
      <c r="AD626" s="123"/>
      <c r="AE626" s="380"/>
      <c r="AF626" s="189"/>
      <c r="AG626" s="108"/>
      <c r="AH626" s="108"/>
      <c r="AI626" s="104"/>
      <c r="AJ626" s="103"/>
      <c r="AK626" s="132"/>
    </row>
    <row r="627" customFormat="false" ht="11.25" hidden="false" customHeight="false" outlineLevel="0" collapsed="false">
      <c r="R627" s="30"/>
      <c r="S627" s="30"/>
      <c r="T627" s="30"/>
      <c r="U627" s="30"/>
      <c r="AD627" s="123"/>
      <c r="AE627" s="380"/>
      <c r="AF627" s="189"/>
      <c r="AG627" s="108"/>
      <c r="AH627" s="108"/>
      <c r="AI627" s="104"/>
      <c r="AJ627" s="103"/>
      <c r="AK627" s="132"/>
    </row>
    <row r="628" customFormat="false" ht="11.25" hidden="false" customHeight="false" outlineLevel="0" collapsed="false">
      <c r="R628" s="30"/>
      <c r="S628" s="30"/>
      <c r="T628" s="30"/>
      <c r="U628" s="30"/>
      <c r="AD628" s="123"/>
      <c r="AE628" s="380"/>
      <c r="AF628" s="189"/>
      <c r="AG628" s="108"/>
      <c r="AH628" s="108"/>
      <c r="AI628" s="104"/>
      <c r="AJ628" s="103"/>
      <c r="AK628" s="132"/>
    </row>
    <row r="629" customFormat="false" ht="11.25" hidden="false" customHeight="false" outlineLevel="0" collapsed="false">
      <c r="R629" s="30"/>
      <c r="S629" s="30"/>
      <c r="T629" s="30"/>
      <c r="U629" s="30"/>
      <c r="AD629" s="123"/>
      <c r="AE629" s="380"/>
      <c r="AF629" s="189"/>
      <c r="AG629" s="108"/>
      <c r="AH629" s="108"/>
      <c r="AI629" s="104"/>
      <c r="AJ629" s="103"/>
      <c r="AK629" s="132"/>
    </row>
    <row r="630" customFormat="false" ht="11.25" hidden="false" customHeight="false" outlineLevel="0" collapsed="false">
      <c r="R630" s="30"/>
      <c r="S630" s="30"/>
      <c r="T630" s="30"/>
      <c r="U630" s="30"/>
      <c r="AJ630" s="103"/>
    </row>
    <row r="631" customFormat="false" ht="11.25" hidden="false" customHeight="false" outlineLevel="0" collapsed="false">
      <c r="R631" s="30"/>
      <c r="S631" s="30"/>
      <c r="T631" s="30"/>
      <c r="U631" s="30"/>
    </row>
    <row r="632" customFormat="false" ht="11.25" hidden="false" customHeight="false" outlineLevel="0" collapsed="false">
      <c r="R632" s="30"/>
      <c r="S632" s="30"/>
      <c r="T632" s="30"/>
      <c r="U632" s="30"/>
      <c r="AJ632" s="79"/>
    </row>
    <row r="633" customFormat="false" ht="11.25" hidden="false" customHeight="false" outlineLevel="0" collapsed="false">
      <c r="R633" s="30"/>
      <c r="S633" s="30"/>
      <c r="T633" s="30"/>
      <c r="U633" s="30"/>
    </row>
    <row r="634" customFormat="false" ht="11.25" hidden="false" customHeight="false" outlineLevel="0" collapsed="false">
      <c r="R634" s="30"/>
      <c r="S634" s="30"/>
      <c r="T634" s="30"/>
      <c r="U634" s="30"/>
    </row>
    <row r="635" customFormat="false" ht="11.25" hidden="false" customHeight="false" outlineLevel="0" collapsed="false">
      <c r="R635" s="30"/>
      <c r="S635" s="30"/>
      <c r="T635" s="30"/>
      <c r="U635" s="30"/>
    </row>
    <row r="636" customFormat="false" ht="11.25" hidden="false" customHeight="false" outlineLevel="0" collapsed="false">
      <c r="R636" s="30"/>
      <c r="S636" s="30"/>
      <c r="T636" s="30"/>
      <c r="U636" s="30"/>
    </row>
    <row r="637" customFormat="false" ht="11.25" hidden="false" customHeight="false" outlineLevel="0" collapsed="false">
      <c r="R637" s="30"/>
      <c r="S637" s="30"/>
      <c r="T637" s="30"/>
      <c r="U637" s="30"/>
    </row>
    <row r="638" customFormat="false" ht="11.25" hidden="false" customHeight="false" outlineLevel="0" collapsed="false">
      <c r="R638" s="30"/>
      <c r="S638" s="30"/>
      <c r="T638" s="30"/>
      <c r="U638" s="30"/>
    </row>
    <row r="639" customFormat="false" ht="11.25" hidden="false" customHeight="false" outlineLevel="0" collapsed="false">
      <c r="R639" s="30"/>
      <c r="S639" s="30"/>
      <c r="T639" s="30"/>
      <c r="U639" s="30"/>
    </row>
    <row r="640" customFormat="false" ht="11.25" hidden="false" customHeight="false" outlineLevel="0" collapsed="false">
      <c r="R640" s="30"/>
      <c r="S640" s="30"/>
      <c r="T640" s="30"/>
      <c r="U640" s="30"/>
    </row>
    <row r="641" customFormat="false" ht="11.25" hidden="false" customHeight="false" outlineLevel="0" collapsed="false">
      <c r="R641" s="30"/>
      <c r="S641" s="30"/>
      <c r="T641" s="30"/>
      <c r="U641" s="30"/>
    </row>
    <row r="642" customFormat="false" ht="11.25" hidden="false" customHeight="false" outlineLevel="0" collapsed="false">
      <c r="R642" s="30"/>
      <c r="S642" s="30"/>
      <c r="T642" s="30"/>
      <c r="U642" s="30"/>
    </row>
    <row r="643" customFormat="false" ht="11.25" hidden="false" customHeight="false" outlineLevel="0" collapsed="false">
      <c r="R643" s="30"/>
      <c r="S643" s="30"/>
      <c r="T643" s="30"/>
      <c r="U643" s="30"/>
    </row>
    <row r="644" customFormat="false" ht="11.25" hidden="false" customHeight="false" outlineLevel="0" collapsed="false">
      <c r="R644" s="30"/>
      <c r="S644" s="30"/>
      <c r="T644" s="30"/>
      <c r="U644" s="30"/>
    </row>
    <row r="645" customFormat="false" ht="11.25" hidden="false" customHeight="false" outlineLevel="0" collapsed="false">
      <c r="R645" s="30"/>
      <c r="S645" s="30"/>
      <c r="T645" s="30"/>
      <c r="U645" s="30"/>
    </row>
    <row r="646" customFormat="false" ht="11.25" hidden="false" customHeight="false" outlineLevel="0" collapsed="false">
      <c r="R646" s="30"/>
      <c r="S646" s="30"/>
      <c r="T646" s="30"/>
      <c r="U646" s="30"/>
    </row>
    <row r="647" customFormat="false" ht="11.25" hidden="false" customHeight="false" outlineLevel="0" collapsed="false">
      <c r="R647" s="30"/>
      <c r="S647" s="30"/>
      <c r="T647" s="30"/>
      <c r="U647" s="30"/>
    </row>
    <row r="648" customFormat="false" ht="11.25" hidden="false" customHeight="false" outlineLevel="0" collapsed="false">
      <c r="R648" s="30"/>
      <c r="S648" s="30"/>
      <c r="T648" s="30"/>
      <c r="U648" s="30"/>
    </row>
    <row r="649" customFormat="false" ht="11.25" hidden="false" customHeight="false" outlineLevel="0" collapsed="false">
      <c r="R649" s="30"/>
      <c r="S649" s="30"/>
      <c r="T649" s="30"/>
      <c r="U649" s="30"/>
    </row>
    <row r="650" customFormat="false" ht="11.25" hidden="false" customHeight="false" outlineLevel="0" collapsed="false">
      <c r="R650" s="30"/>
      <c r="S650" s="30"/>
      <c r="T650" s="30"/>
      <c r="U650" s="30"/>
    </row>
    <row r="651" customFormat="false" ht="11.25" hidden="false" customHeight="false" outlineLevel="0" collapsed="false">
      <c r="R651" s="30"/>
      <c r="S651" s="30"/>
      <c r="T651" s="30"/>
      <c r="U651" s="30"/>
    </row>
    <row r="652" customFormat="false" ht="11.25" hidden="false" customHeight="false" outlineLevel="0" collapsed="false">
      <c r="R652" s="30"/>
      <c r="S652" s="30"/>
      <c r="T652" s="30"/>
      <c r="U652" s="30"/>
    </row>
    <row r="653" customFormat="false" ht="11.25" hidden="false" customHeight="false" outlineLevel="0" collapsed="false">
      <c r="R653" s="30"/>
      <c r="S653" s="30"/>
      <c r="T653" s="30"/>
      <c r="U653" s="30"/>
    </row>
    <row r="654" customFormat="false" ht="11.25" hidden="false" customHeight="false" outlineLevel="0" collapsed="false">
      <c r="R654" s="30"/>
      <c r="S654" s="30"/>
      <c r="T654" s="30"/>
      <c r="U654" s="30"/>
    </row>
    <row r="655" customFormat="false" ht="11.25" hidden="false" customHeight="false" outlineLevel="0" collapsed="false">
      <c r="R655" s="30"/>
      <c r="S655" s="30"/>
      <c r="T655" s="30"/>
      <c r="U655" s="30"/>
    </row>
    <row r="656" customFormat="false" ht="11.25" hidden="false" customHeight="false" outlineLevel="0" collapsed="false">
      <c r="R656" s="30"/>
      <c r="S656" s="30"/>
      <c r="T656" s="30"/>
      <c r="U656" s="30"/>
    </row>
    <row r="657" customFormat="false" ht="11.25" hidden="false" customHeight="false" outlineLevel="0" collapsed="false">
      <c r="R657" s="30"/>
      <c r="S657" s="30"/>
      <c r="T657" s="30"/>
      <c r="U657" s="30"/>
    </row>
    <row r="658" customFormat="false" ht="11.25" hidden="false" customHeight="false" outlineLevel="0" collapsed="false">
      <c r="R658" s="30"/>
      <c r="S658" s="30"/>
      <c r="T658" s="30"/>
      <c r="U658" s="30"/>
    </row>
    <row r="659" customFormat="false" ht="11.25" hidden="false" customHeight="false" outlineLevel="0" collapsed="false">
      <c r="R659" s="30"/>
      <c r="S659" s="30"/>
      <c r="T659" s="30"/>
      <c r="U659" s="30"/>
    </row>
    <row r="660" customFormat="false" ht="11.25" hidden="false" customHeight="false" outlineLevel="0" collapsed="false">
      <c r="R660" s="30"/>
      <c r="S660" s="30"/>
      <c r="T660" s="30"/>
      <c r="U660" s="30"/>
    </row>
    <row r="661" customFormat="false" ht="11.25" hidden="false" customHeight="false" outlineLevel="0" collapsed="false">
      <c r="R661" s="30"/>
      <c r="S661" s="30"/>
      <c r="T661" s="30"/>
      <c r="U661" s="30"/>
    </row>
    <row r="662" customFormat="false" ht="11.25" hidden="false" customHeight="false" outlineLevel="0" collapsed="false">
      <c r="R662" s="30"/>
      <c r="S662" s="30"/>
      <c r="T662" s="30"/>
      <c r="U662" s="30"/>
    </row>
    <row r="663" customFormat="false" ht="11.25" hidden="false" customHeight="false" outlineLevel="0" collapsed="false">
      <c r="R663" s="30"/>
      <c r="S663" s="30"/>
      <c r="T663" s="30"/>
      <c r="U663" s="30"/>
    </row>
    <row r="664" customFormat="false" ht="11.25" hidden="false" customHeight="false" outlineLevel="0" collapsed="false">
      <c r="R664" s="30"/>
      <c r="S664" s="30"/>
      <c r="T664" s="30"/>
      <c r="U664" s="30"/>
    </row>
    <row r="665" customFormat="false" ht="11.25" hidden="false" customHeight="false" outlineLevel="0" collapsed="false">
      <c r="R665" s="30"/>
      <c r="S665" s="30"/>
      <c r="T665" s="30"/>
      <c r="U665" s="30"/>
    </row>
    <row r="666" customFormat="false" ht="11.25" hidden="false" customHeight="false" outlineLevel="0" collapsed="false">
      <c r="R666" s="30"/>
      <c r="S666" s="30"/>
      <c r="T666" s="30"/>
      <c r="U666" s="30"/>
    </row>
    <row r="667" customFormat="false" ht="11.25" hidden="false" customHeight="false" outlineLevel="0" collapsed="false">
      <c r="R667" s="30"/>
      <c r="S667" s="30"/>
      <c r="T667" s="30"/>
      <c r="U667" s="30"/>
    </row>
    <row r="668" customFormat="false" ht="11.25" hidden="false" customHeight="false" outlineLevel="0" collapsed="false">
      <c r="R668" s="30"/>
      <c r="S668" s="30"/>
      <c r="T668" s="30"/>
      <c r="U668" s="30"/>
    </row>
    <row r="669" customFormat="false" ht="11.25" hidden="false" customHeight="false" outlineLevel="0" collapsed="false">
      <c r="R669" s="30"/>
      <c r="S669" s="30"/>
      <c r="T669" s="30"/>
      <c r="U669" s="30"/>
    </row>
    <row r="670" customFormat="false" ht="11.25" hidden="false" customHeight="false" outlineLevel="0" collapsed="false">
      <c r="R670" s="30"/>
      <c r="S670" s="30"/>
      <c r="T670" s="30"/>
      <c r="U670" s="30"/>
    </row>
    <row r="671" customFormat="false" ht="11.25" hidden="false" customHeight="false" outlineLevel="0" collapsed="false">
      <c r="R671" s="30"/>
      <c r="S671" s="30"/>
      <c r="T671" s="30"/>
      <c r="U671" s="30"/>
    </row>
    <row r="672" customFormat="false" ht="11.25" hidden="false" customHeight="false" outlineLevel="0" collapsed="false">
      <c r="R672" s="30"/>
      <c r="S672" s="30"/>
      <c r="T672" s="30"/>
      <c r="U672" s="30"/>
    </row>
    <row r="673" customFormat="false" ht="11.25" hidden="false" customHeight="false" outlineLevel="0" collapsed="false">
      <c r="R673" s="30"/>
      <c r="S673" s="30"/>
      <c r="T673" s="30"/>
      <c r="U673" s="30"/>
    </row>
    <row r="674" customFormat="false" ht="11.25" hidden="false" customHeight="false" outlineLevel="0" collapsed="false">
      <c r="R674" s="30"/>
      <c r="S674" s="30"/>
      <c r="T674" s="30"/>
      <c r="U674" s="30"/>
    </row>
    <row r="675" customFormat="false" ht="11.25" hidden="false" customHeight="false" outlineLevel="0" collapsed="false">
      <c r="R675" s="30"/>
      <c r="S675" s="30"/>
      <c r="T675" s="30"/>
      <c r="U675" s="30"/>
    </row>
    <row r="676" customFormat="false" ht="11.25" hidden="false" customHeight="false" outlineLevel="0" collapsed="false">
      <c r="R676" s="30"/>
      <c r="S676" s="30"/>
      <c r="T676" s="30"/>
      <c r="U676" s="30"/>
    </row>
    <row r="677" customFormat="false" ht="11.25" hidden="false" customHeight="false" outlineLevel="0" collapsed="false">
      <c r="R677" s="30"/>
      <c r="S677" s="30"/>
      <c r="T677" s="30"/>
      <c r="U677" s="30"/>
    </row>
    <row r="678" customFormat="false" ht="11.25" hidden="false" customHeight="false" outlineLevel="0" collapsed="false">
      <c r="R678" s="30"/>
      <c r="S678" s="30"/>
      <c r="T678" s="30"/>
      <c r="U678" s="30"/>
    </row>
    <row r="679" customFormat="false" ht="11.25" hidden="false" customHeight="false" outlineLevel="0" collapsed="false">
      <c r="R679" s="30"/>
      <c r="S679" s="30"/>
      <c r="T679" s="30"/>
      <c r="U679" s="30"/>
    </row>
    <row r="680" customFormat="false" ht="11.25" hidden="false" customHeight="false" outlineLevel="0" collapsed="false">
      <c r="R680" s="30"/>
      <c r="S680" s="30"/>
      <c r="T680" s="30"/>
      <c r="U680" s="30"/>
    </row>
    <row r="681" customFormat="false" ht="11.25" hidden="false" customHeight="false" outlineLevel="0" collapsed="false">
      <c r="R681" s="30"/>
      <c r="S681" s="30"/>
      <c r="T681" s="30"/>
      <c r="U681" s="30"/>
    </row>
    <row r="682" customFormat="false" ht="11.25" hidden="false" customHeight="false" outlineLevel="0" collapsed="false">
      <c r="R682" s="30"/>
      <c r="S682" s="30"/>
      <c r="T682" s="30"/>
      <c r="U682" s="30"/>
    </row>
    <row r="683" customFormat="false" ht="11.25" hidden="false" customHeight="false" outlineLevel="0" collapsed="false">
      <c r="R683" s="30"/>
      <c r="S683" s="30"/>
      <c r="T683" s="30"/>
      <c r="U683" s="30"/>
    </row>
    <row r="684" customFormat="false" ht="11.25" hidden="false" customHeight="false" outlineLevel="0" collapsed="false">
      <c r="R684" s="30"/>
      <c r="S684" s="30"/>
      <c r="T684" s="30"/>
      <c r="U684" s="30"/>
    </row>
    <row r="685" customFormat="false" ht="11.25" hidden="false" customHeight="false" outlineLevel="0" collapsed="false">
      <c r="R685" s="30"/>
      <c r="S685" s="30"/>
      <c r="T685" s="30"/>
      <c r="U685" s="30"/>
    </row>
    <row r="686" customFormat="false" ht="11.25" hidden="false" customHeight="false" outlineLevel="0" collapsed="false">
      <c r="R686" s="30"/>
      <c r="S686" s="30"/>
      <c r="T686" s="30"/>
      <c r="U686" s="30"/>
    </row>
    <row r="687" customFormat="false" ht="11.25" hidden="false" customHeight="false" outlineLevel="0" collapsed="false">
      <c r="R687" s="30"/>
      <c r="S687" s="30"/>
      <c r="T687" s="30"/>
      <c r="U687" s="30"/>
    </row>
    <row r="688" customFormat="false" ht="11.25" hidden="false" customHeight="false" outlineLevel="0" collapsed="false">
      <c r="R688" s="30"/>
      <c r="S688" s="30"/>
      <c r="T688" s="30"/>
      <c r="U688" s="30"/>
    </row>
    <row r="689" customFormat="false" ht="11.25" hidden="false" customHeight="false" outlineLevel="0" collapsed="false">
      <c r="R689" s="30"/>
      <c r="S689" s="30"/>
      <c r="T689" s="30"/>
      <c r="U689" s="30"/>
    </row>
    <row r="690" customFormat="false" ht="11.25" hidden="false" customHeight="false" outlineLevel="0" collapsed="false">
      <c r="R690" s="30"/>
      <c r="S690" s="30"/>
      <c r="T690" s="30"/>
      <c r="U690" s="30"/>
    </row>
    <row r="691" customFormat="false" ht="11.25" hidden="false" customHeight="false" outlineLevel="0" collapsed="false">
      <c r="R691" s="30"/>
      <c r="S691" s="30"/>
      <c r="T691" s="30"/>
      <c r="U691" s="30"/>
    </row>
    <row r="692" customFormat="false" ht="11.25" hidden="false" customHeight="false" outlineLevel="0" collapsed="false">
      <c r="R692" s="30"/>
      <c r="S692" s="30"/>
      <c r="T692" s="30"/>
      <c r="U692" s="30"/>
    </row>
    <row r="693" customFormat="false" ht="11.25" hidden="false" customHeight="false" outlineLevel="0" collapsed="false">
      <c r="R693" s="30"/>
      <c r="S693" s="30"/>
      <c r="T693" s="30"/>
      <c r="U693" s="30"/>
    </row>
    <row r="694" customFormat="false" ht="11.25" hidden="false" customHeight="false" outlineLevel="0" collapsed="false">
      <c r="R694" s="30"/>
      <c r="S694" s="30"/>
      <c r="T694" s="30"/>
      <c r="U694" s="30"/>
    </row>
    <row r="695" customFormat="false" ht="11.25" hidden="false" customHeight="false" outlineLevel="0" collapsed="false">
      <c r="R695" s="30"/>
      <c r="S695" s="30"/>
      <c r="T695" s="30"/>
      <c r="U695" s="30"/>
    </row>
    <row r="696" customFormat="false" ht="11.25" hidden="false" customHeight="false" outlineLevel="0" collapsed="false">
      <c r="R696" s="30"/>
      <c r="S696" s="30"/>
      <c r="T696" s="30"/>
      <c r="U696" s="30"/>
    </row>
    <row r="697" customFormat="false" ht="11.25" hidden="false" customHeight="false" outlineLevel="0" collapsed="false">
      <c r="R697" s="30"/>
      <c r="S697" s="30"/>
      <c r="T697" s="30"/>
      <c r="U697" s="30"/>
    </row>
    <row r="698" customFormat="false" ht="11.25" hidden="false" customHeight="false" outlineLevel="0" collapsed="false">
      <c r="R698" s="30"/>
      <c r="S698" s="30"/>
      <c r="T698" s="30"/>
      <c r="U698" s="30"/>
    </row>
    <row r="699" customFormat="false" ht="11.25" hidden="false" customHeight="false" outlineLevel="0" collapsed="false">
      <c r="R699" s="30"/>
      <c r="S699" s="30"/>
      <c r="T699" s="30"/>
      <c r="U699" s="30"/>
    </row>
    <row r="700" customFormat="false" ht="11.25" hidden="false" customHeight="false" outlineLevel="0" collapsed="false">
      <c r="R700" s="30"/>
      <c r="S700" s="30"/>
      <c r="T700" s="30"/>
      <c r="U700" s="30"/>
    </row>
    <row r="701" customFormat="false" ht="11.25" hidden="false" customHeight="false" outlineLevel="0" collapsed="false">
      <c r="R701" s="30"/>
      <c r="S701" s="30"/>
      <c r="T701" s="30"/>
      <c r="U701" s="30"/>
    </row>
    <row r="702" customFormat="false" ht="11.25" hidden="false" customHeight="false" outlineLevel="0" collapsed="false">
      <c r="R702" s="30"/>
      <c r="S702" s="30"/>
      <c r="T702" s="30"/>
      <c r="U702" s="30"/>
    </row>
    <row r="703" customFormat="false" ht="11.25" hidden="false" customHeight="false" outlineLevel="0" collapsed="false">
      <c r="R703" s="30"/>
      <c r="S703" s="30"/>
      <c r="T703" s="30"/>
      <c r="U703" s="30"/>
    </row>
    <row r="704" customFormat="false" ht="11.25" hidden="false" customHeight="false" outlineLevel="0" collapsed="false">
      <c r="R704" s="30"/>
      <c r="S704" s="30"/>
      <c r="T704" s="30"/>
      <c r="U704" s="30"/>
    </row>
    <row r="705" customFormat="false" ht="11.25" hidden="false" customHeight="false" outlineLevel="0" collapsed="false">
      <c r="R705" s="30"/>
      <c r="S705" s="30"/>
      <c r="T705" s="30"/>
      <c r="U705" s="30"/>
    </row>
    <row r="706" customFormat="false" ht="11.25" hidden="false" customHeight="false" outlineLevel="0" collapsed="false">
      <c r="R706" s="30"/>
      <c r="S706" s="30"/>
      <c r="T706" s="30"/>
      <c r="U706" s="30"/>
    </row>
    <row r="707" customFormat="false" ht="11.25" hidden="false" customHeight="false" outlineLevel="0" collapsed="false">
      <c r="R707" s="30"/>
      <c r="S707" s="30"/>
      <c r="T707" s="30"/>
      <c r="U707" s="30"/>
    </row>
    <row r="708" customFormat="false" ht="11.25" hidden="false" customHeight="false" outlineLevel="0" collapsed="false">
      <c r="R708" s="30"/>
      <c r="S708" s="30"/>
      <c r="T708" s="30"/>
      <c r="U708" s="30"/>
    </row>
    <row r="709" customFormat="false" ht="11.25" hidden="false" customHeight="false" outlineLevel="0" collapsed="false">
      <c r="R709" s="30"/>
      <c r="S709" s="30"/>
      <c r="T709" s="30"/>
      <c r="U709" s="30"/>
    </row>
    <row r="710" customFormat="false" ht="11.25" hidden="false" customHeight="false" outlineLevel="0" collapsed="false">
      <c r="R710" s="30"/>
      <c r="S710" s="30"/>
      <c r="T710" s="30"/>
      <c r="U710" s="30"/>
    </row>
    <row r="711" customFormat="false" ht="11.25" hidden="false" customHeight="false" outlineLevel="0" collapsed="false">
      <c r="R711" s="30"/>
      <c r="S711" s="30"/>
      <c r="T711" s="30"/>
      <c r="U711" s="30"/>
    </row>
    <row r="712" customFormat="false" ht="11.25" hidden="false" customHeight="false" outlineLevel="0" collapsed="false">
      <c r="R712" s="30"/>
      <c r="S712" s="30"/>
      <c r="T712" s="30"/>
      <c r="U712" s="30"/>
    </row>
    <row r="713" customFormat="false" ht="11.25" hidden="false" customHeight="false" outlineLevel="0" collapsed="false">
      <c r="R713" s="30"/>
      <c r="S713" s="30"/>
      <c r="T713" s="30"/>
      <c r="U713" s="30"/>
    </row>
    <row r="714" customFormat="false" ht="11.25" hidden="false" customHeight="false" outlineLevel="0" collapsed="false">
      <c r="R714" s="30"/>
      <c r="S714" s="30"/>
      <c r="T714" s="30"/>
      <c r="U714" s="30"/>
    </row>
    <row r="715" customFormat="false" ht="11.25" hidden="false" customHeight="false" outlineLevel="0" collapsed="false">
      <c r="R715" s="30"/>
      <c r="S715" s="30"/>
      <c r="T715" s="30"/>
      <c r="U715" s="30"/>
    </row>
    <row r="716" customFormat="false" ht="11.25" hidden="false" customHeight="false" outlineLevel="0" collapsed="false">
      <c r="R716" s="30"/>
      <c r="S716" s="30"/>
      <c r="T716" s="30"/>
      <c r="U716" s="30"/>
    </row>
    <row r="717" customFormat="false" ht="11.25" hidden="false" customHeight="false" outlineLevel="0" collapsed="false">
      <c r="R717" s="30"/>
      <c r="S717" s="30"/>
      <c r="T717" s="30"/>
      <c r="U717" s="30"/>
    </row>
    <row r="718" customFormat="false" ht="11.25" hidden="false" customHeight="false" outlineLevel="0" collapsed="false">
      <c r="R718" s="30"/>
      <c r="S718" s="30"/>
      <c r="T718" s="30"/>
      <c r="U718" s="30"/>
    </row>
    <row r="719" customFormat="false" ht="11.25" hidden="false" customHeight="false" outlineLevel="0" collapsed="false">
      <c r="R719" s="30"/>
      <c r="S719" s="30"/>
      <c r="T719" s="30"/>
      <c r="U719" s="30"/>
    </row>
    <row r="720" customFormat="false" ht="11.25" hidden="false" customHeight="false" outlineLevel="0" collapsed="false">
      <c r="R720" s="30"/>
      <c r="S720" s="30"/>
      <c r="T720" s="30"/>
      <c r="U720" s="30"/>
    </row>
    <row r="721" customFormat="false" ht="11.25" hidden="false" customHeight="false" outlineLevel="0" collapsed="false">
      <c r="R721" s="30"/>
      <c r="S721" s="30"/>
      <c r="T721" s="30"/>
      <c r="U721" s="30"/>
    </row>
    <row r="722" customFormat="false" ht="11.25" hidden="false" customHeight="false" outlineLevel="0" collapsed="false">
      <c r="R722" s="30"/>
      <c r="S722" s="30"/>
      <c r="T722" s="30"/>
      <c r="U722" s="30"/>
    </row>
    <row r="723" customFormat="false" ht="11.25" hidden="false" customHeight="false" outlineLevel="0" collapsed="false">
      <c r="R723" s="30"/>
      <c r="S723" s="30"/>
      <c r="T723" s="30"/>
      <c r="U723" s="30"/>
    </row>
    <row r="724" customFormat="false" ht="11.25" hidden="false" customHeight="false" outlineLevel="0" collapsed="false">
      <c r="R724" s="30"/>
      <c r="S724" s="30"/>
      <c r="T724" s="30"/>
      <c r="U724" s="30"/>
    </row>
    <row r="725" customFormat="false" ht="11.25" hidden="false" customHeight="false" outlineLevel="0" collapsed="false">
      <c r="R725" s="30"/>
      <c r="S725" s="30"/>
      <c r="T725" s="30"/>
      <c r="U725" s="30"/>
    </row>
    <row r="726" customFormat="false" ht="11.25" hidden="false" customHeight="false" outlineLevel="0" collapsed="false">
      <c r="R726" s="30"/>
      <c r="S726" s="30"/>
      <c r="T726" s="30"/>
      <c r="U726" s="30"/>
    </row>
    <row r="727" customFormat="false" ht="11.25" hidden="false" customHeight="false" outlineLevel="0" collapsed="false">
      <c r="R727" s="30"/>
      <c r="S727" s="30"/>
      <c r="T727" s="30"/>
      <c r="U727" s="30"/>
    </row>
    <row r="728" customFormat="false" ht="11.25" hidden="false" customHeight="false" outlineLevel="0" collapsed="false">
      <c r="R728" s="30"/>
      <c r="S728" s="30"/>
      <c r="T728" s="30"/>
      <c r="U728" s="30"/>
    </row>
    <row r="729" customFormat="false" ht="11.25" hidden="false" customHeight="false" outlineLevel="0" collapsed="false">
      <c r="R729" s="30"/>
      <c r="S729" s="30"/>
      <c r="T729" s="30"/>
      <c r="U729" s="30"/>
    </row>
    <row r="730" customFormat="false" ht="11.25" hidden="false" customHeight="false" outlineLevel="0" collapsed="false">
      <c r="R730" s="30"/>
      <c r="S730" s="30"/>
      <c r="T730" s="30"/>
      <c r="U730" s="30"/>
    </row>
    <row r="731" customFormat="false" ht="11.25" hidden="false" customHeight="false" outlineLevel="0" collapsed="false">
      <c r="R731" s="30"/>
      <c r="S731" s="30"/>
      <c r="T731" s="30"/>
      <c r="U731" s="30"/>
    </row>
    <row r="732" customFormat="false" ht="11.25" hidden="false" customHeight="false" outlineLevel="0" collapsed="false">
      <c r="R732" s="30"/>
      <c r="S732" s="30"/>
      <c r="T732" s="30"/>
      <c r="U732" s="30"/>
    </row>
    <row r="733" customFormat="false" ht="11.25" hidden="false" customHeight="false" outlineLevel="0" collapsed="false">
      <c r="R733" s="30"/>
      <c r="S733" s="30"/>
      <c r="T733" s="30"/>
      <c r="U733" s="30"/>
    </row>
    <row r="734" customFormat="false" ht="11.25" hidden="false" customHeight="false" outlineLevel="0" collapsed="false">
      <c r="R734" s="30"/>
      <c r="S734" s="30"/>
      <c r="T734" s="30"/>
      <c r="U734" s="30"/>
    </row>
    <row r="735" customFormat="false" ht="11.25" hidden="false" customHeight="false" outlineLevel="0" collapsed="false">
      <c r="R735" s="30"/>
      <c r="S735" s="30"/>
      <c r="T735" s="30"/>
      <c r="U735" s="30"/>
    </row>
    <row r="736" customFormat="false" ht="11.25" hidden="false" customHeight="false" outlineLevel="0" collapsed="false">
      <c r="R736" s="30"/>
      <c r="S736" s="30"/>
      <c r="T736" s="30"/>
      <c r="U736" s="30"/>
    </row>
    <row r="737" customFormat="false" ht="11.25" hidden="false" customHeight="false" outlineLevel="0" collapsed="false">
      <c r="R737" s="30"/>
      <c r="S737" s="30"/>
      <c r="T737" s="30"/>
      <c r="U737" s="30"/>
    </row>
    <row r="738" customFormat="false" ht="11.25" hidden="false" customHeight="false" outlineLevel="0" collapsed="false">
      <c r="R738" s="30"/>
      <c r="S738" s="30"/>
      <c r="T738" s="30"/>
      <c r="U738" s="30"/>
    </row>
    <row r="739" customFormat="false" ht="11.25" hidden="false" customHeight="false" outlineLevel="0" collapsed="false">
      <c r="R739" s="30"/>
      <c r="S739" s="30"/>
      <c r="T739" s="30"/>
      <c r="U739" s="30"/>
    </row>
    <row r="740" customFormat="false" ht="11.25" hidden="false" customHeight="false" outlineLevel="0" collapsed="false">
      <c r="R740" s="30"/>
      <c r="S740" s="30"/>
      <c r="T740" s="30"/>
      <c r="U740" s="30"/>
    </row>
    <row r="741" customFormat="false" ht="11.25" hidden="false" customHeight="false" outlineLevel="0" collapsed="false">
      <c r="R741" s="30"/>
      <c r="S741" s="30"/>
      <c r="T741" s="30"/>
      <c r="U741" s="30"/>
    </row>
    <row r="742" customFormat="false" ht="11.25" hidden="false" customHeight="false" outlineLevel="0" collapsed="false">
      <c r="R742" s="30"/>
      <c r="S742" s="30"/>
      <c r="T742" s="30"/>
      <c r="U742" s="30"/>
    </row>
    <row r="743" customFormat="false" ht="11.25" hidden="false" customHeight="false" outlineLevel="0" collapsed="false">
      <c r="R743" s="30"/>
      <c r="S743" s="30"/>
      <c r="T743" s="30"/>
      <c r="U743" s="30"/>
    </row>
    <row r="744" customFormat="false" ht="11.25" hidden="false" customHeight="false" outlineLevel="0" collapsed="false">
      <c r="R744" s="30"/>
      <c r="S744" s="30"/>
      <c r="T744" s="30"/>
      <c r="U744" s="30"/>
    </row>
    <row r="745" customFormat="false" ht="11.25" hidden="false" customHeight="false" outlineLevel="0" collapsed="false">
      <c r="R745" s="30"/>
      <c r="S745" s="30"/>
      <c r="T745" s="30"/>
      <c r="U745" s="30"/>
    </row>
    <row r="746" customFormat="false" ht="11.25" hidden="false" customHeight="false" outlineLevel="0" collapsed="false">
      <c r="R746" s="30"/>
      <c r="S746" s="30"/>
      <c r="T746" s="30"/>
      <c r="U746" s="30"/>
    </row>
    <row r="747" customFormat="false" ht="11.25" hidden="false" customHeight="false" outlineLevel="0" collapsed="false">
      <c r="R747" s="30"/>
      <c r="S747" s="30"/>
      <c r="T747" s="30"/>
      <c r="U747" s="30"/>
    </row>
    <row r="748" customFormat="false" ht="11.25" hidden="false" customHeight="false" outlineLevel="0" collapsed="false">
      <c r="R748" s="30"/>
      <c r="S748" s="30"/>
      <c r="T748" s="30"/>
      <c r="U748" s="30"/>
    </row>
    <row r="749" customFormat="false" ht="11.25" hidden="false" customHeight="false" outlineLevel="0" collapsed="false">
      <c r="R749" s="30"/>
      <c r="S749" s="30"/>
      <c r="T749" s="30"/>
      <c r="U749" s="30"/>
    </row>
    <row r="750" customFormat="false" ht="11.25" hidden="false" customHeight="false" outlineLevel="0" collapsed="false">
      <c r="R750" s="30"/>
      <c r="S750" s="30"/>
      <c r="T750" s="30"/>
      <c r="U750" s="30"/>
    </row>
    <row r="751" customFormat="false" ht="11.25" hidden="false" customHeight="false" outlineLevel="0" collapsed="false">
      <c r="R751" s="30"/>
      <c r="S751" s="30"/>
      <c r="T751" s="30"/>
      <c r="U751" s="30"/>
    </row>
    <row r="752" customFormat="false" ht="11.25" hidden="false" customHeight="false" outlineLevel="0" collapsed="false">
      <c r="R752" s="30"/>
      <c r="S752" s="30"/>
      <c r="T752" s="30"/>
      <c r="U752" s="30"/>
    </row>
    <row r="753" customFormat="false" ht="11.25" hidden="false" customHeight="false" outlineLevel="0" collapsed="false">
      <c r="R753" s="30"/>
      <c r="S753" s="30"/>
      <c r="T753" s="30"/>
      <c r="U753" s="30"/>
    </row>
    <row r="754" customFormat="false" ht="11.25" hidden="false" customHeight="false" outlineLevel="0" collapsed="false">
      <c r="R754" s="30"/>
      <c r="S754" s="30"/>
      <c r="T754" s="30"/>
      <c r="U754" s="30"/>
    </row>
    <row r="755" customFormat="false" ht="11.25" hidden="false" customHeight="false" outlineLevel="0" collapsed="false">
      <c r="R755" s="30"/>
      <c r="S755" s="30"/>
      <c r="T755" s="30"/>
      <c r="U755" s="30"/>
    </row>
    <row r="756" customFormat="false" ht="11.25" hidden="false" customHeight="false" outlineLevel="0" collapsed="false">
      <c r="R756" s="30"/>
      <c r="S756" s="30"/>
      <c r="T756" s="30"/>
      <c r="U756" s="30"/>
    </row>
    <row r="757" customFormat="false" ht="11.25" hidden="false" customHeight="false" outlineLevel="0" collapsed="false">
      <c r="R757" s="30"/>
      <c r="S757" s="30"/>
      <c r="T757" s="30"/>
      <c r="U757" s="30"/>
    </row>
    <row r="758" customFormat="false" ht="11.25" hidden="false" customHeight="false" outlineLevel="0" collapsed="false">
      <c r="R758" s="30"/>
      <c r="S758" s="30"/>
      <c r="T758" s="30"/>
      <c r="U758" s="30"/>
    </row>
    <row r="759" customFormat="false" ht="11.25" hidden="false" customHeight="false" outlineLevel="0" collapsed="false">
      <c r="R759" s="30"/>
      <c r="S759" s="30"/>
      <c r="T759" s="30"/>
      <c r="U759" s="30"/>
    </row>
    <row r="760" customFormat="false" ht="11.25" hidden="false" customHeight="false" outlineLevel="0" collapsed="false">
      <c r="R760" s="30"/>
      <c r="S760" s="30"/>
      <c r="T760" s="30"/>
      <c r="U760" s="30"/>
    </row>
    <row r="761" customFormat="false" ht="11.25" hidden="false" customHeight="false" outlineLevel="0" collapsed="false">
      <c r="R761" s="30"/>
      <c r="S761" s="30"/>
      <c r="T761" s="30"/>
      <c r="U761" s="30"/>
    </row>
    <row r="762" customFormat="false" ht="11.25" hidden="false" customHeight="false" outlineLevel="0" collapsed="false">
      <c r="R762" s="30"/>
      <c r="S762" s="30"/>
      <c r="T762" s="30"/>
      <c r="U762" s="30"/>
    </row>
    <row r="763" customFormat="false" ht="11.25" hidden="false" customHeight="false" outlineLevel="0" collapsed="false">
      <c r="R763" s="30"/>
      <c r="S763" s="30"/>
      <c r="T763" s="30"/>
      <c r="U763" s="30"/>
    </row>
    <row r="764" customFormat="false" ht="11.25" hidden="false" customHeight="false" outlineLevel="0" collapsed="false">
      <c r="R764" s="30"/>
      <c r="S764" s="30"/>
      <c r="T764" s="30"/>
      <c r="U764" s="30"/>
    </row>
    <row r="765" customFormat="false" ht="11.25" hidden="false" customHeight="false" outlineLevel="0" collapsed="false">
      <c r="R765" s="30"/>
      <c r="S765" s="30"/>
      <c r="T765" s="30"/>
      <c r="U765" s="30"/>
    </row>
    <row r="766" customFormat="false" ht="11.25" hidden="false" customHeight="false" outlineLevel="0" collapsed="false">
      <c r="R766" s="30"/>
      <c r="S766" s="30"/>
      <c r="T766" s="30"/>
      <c r="U766" s="30"/>
    </row>
    <row r="767" customFormat="false" ht="11.25" hidden="false" customHeight="false" outlineLevel="0" collapsed="false">
      <c r="R767" s="30"/>
      <c r="S767" s="30"/>
      <c r="T767" s="30"/>
      <c r="U767" s="30"/>
    </row>
    <row r="768" customFormat="false" ht="11.25" hidden="false" customHeight="false" outlineLevel="0" collapsed="false">
      <c r="R768" s="30"/>
      <c r="S768" s="30"/>
      <c r="T768" s="30"/>
      <c r="U768" s="30"/>
    </row>
    <row r="769" customFormat="false" ht="11.25" hidden="false" customHeight="false" outlineLevel="0" collapsed="false">
      <c r="R769" s="30"/>
      <c r="S769" s="30"/>
      <c r="T769" s="30"/>
      <c r="U769" s="30"/>
    </row>
    <row r="770" customFormat="false" ht="11.25" hidden="false" customHeight="false" outlineLevel="0" collapsed="false">
      <c r="R770" s="30"/>
      <c r="S770" s="30"/>
      <c r="T770" s="30"/>
      <c r="U770" s="30"/>
    </row>
    <row r="771" customFormat="false" ht="11.25" hidden="false" customHeight="false" outlineLevel="0" collapsed="false">
      <c r="R771" s="30"/>
      <c r="S771" s="30"/>
      <c r="T771" s="30"/>
      <c r="U771" s="30"/>
    </row>
    <row r="772" customFormat="false" ht="11.25" hidden="false" customHeight="false" outlineLevel="0" collapsed="false">
      <c r="R772" s="30"/>
      <c r="S772" s="30"/>
      <c r="T772" s="30"/>
      <c r="U772" s="30"/>
    </row>
    <row r="773" customFormat="false" ht="11.25" hidden="false" customHeight="false" outlineLevel="0" collapsed="false">
      <c r="R773" s="30"/>
      <c r="S773" s="30"/>
      <c r="T773" s="30"/>
      <c r="U773" s="30"/>
    </row>
    <row r="774" customFormat="false" ht="11.25" hidden="false" customHeight="false" outlineLevel="0" collapsed="false">
      <c r="R774" s="30"/>
      <c r="S774" s="30"/>
      <c r="T774" s="30"/>
      <c r="U774" s="30"/>
    </row>
    <row r="775" customFormat="false" ht="11.25" hidden="false" customHeight="false" outlineLevel="0" collapsed="false">
      <c r="R775" s="30"/>
      <c r="S775" s="30"/>
      <c r="T775" s="30"/>
      <c r="U775" s="30"/>
    </row>
    <row r="776" customFormat="false" ht="11.25" hidden="false" customHeight="false" outlineLevel="0" collapsed="false">
      <c r="R776" s="30"/>
      <c r="S776" s="30"/>
      <c r="T776" s="30"/>
      <c r="U776" s="30"/>
    </row>
    <row r="777" customFormat="false" ht="11.25" hidden="false" customHeight="false" outlineLevel="0" collapsed="false">
      <c r="R777" s="30"/>
      <c r="S777" s="30"/>
      <c r="T777" s="30"/>
      <c r="U777" s="30"/>
    </row>
    <row r="778" customFormat="false" ht="11.25" hidden="false" customHeight="false" outlineLevel="0" collapsed="false">
      <c r="R778" s="30"/>
      <c r="S778" s="30"/>
      <c r="T778" s="30"/>
      <c r="U778" s="30"/>
    </row>
    <row r="779" customFormat="false" ht="11.25" hidden="false" customHeight="false" outlineLevel="0" collapsed="false">
      <c r="R779" s="30"/>
      <c r="S779" s="30"/>
      <c r="T779" s="30"/>
      <c r="U779" s="30"/>
    </row>
    <row r="780" customFormat="false" ht="11.25" hidden="false" customHeight="false" outlineLevel="0" collapsed="false">
      <c r="R780" s="30"/>
      <c r="S780" s="30"/>
      <c r="T780" s="30"/>
      <c r="U780" s="30"/>
    </row>
    <row r="781" customFormat="false" ht="11.25" hidden="false" customHeight="false" outlineLevel="0" collapsed="false">
      <c r="R781" s="30"/>
      <c r="S781" s="30"/>
      <c r="T781" s="30"/>
      <c r="U781" s="30"/>
    </row>
    <row r="782" customFormat="false" ht="11.25" hidden="false" customHeight="false" outlineLevel="0" collapsed="false">
      <c r="R782" s="30"/>
      <c r="S782" s="30"/>
      <c r="T782" s="30"/>
      <c r="U782" s="30"/>
    </row>
    <row r="783" customFormat="false" ht="11.25" hidden="false" customHeight="false" outlineLevel="0" collapsed="false">
      <c r="R783" s="30"/>
      <c r="S783" s="30"/>
      <c r="T783" s="30"/>
      <c r="U783" s="30"/>
    </row>
    <row r="784" customFormat="false" ht="11.25" hidden="false" customHeight="false" outlineLevel="0" collapsed="false">
      <c r="R784" s="30"/>
      <c r="S784" s="30"/>
      <c r="T784" s="30"/>
      <c r="U784" s="30"/>
    </row>
    <row r="785" customFormat="false" ht="11.25" hidden="false" customHeight="false" outlineLevel="0" collapsed="false">
      <c r="R785" s="30"/>
      <c r="S785" s="30"/>
      <c r="T785" s="30"/>
      <c r="U785" s="30"/>
    </row>
    <row r="786" customFormat="false" ht="11.25" hidden="false" customHeight="false" outlineLevel="0" collapsed="false">
      <c r="R786" s="30"/>
      <c r="S786" s="30"/>
      <c r="T786" s="30"/>
      <c r="U786" s="30"/>
    </row>
    <row r="787" customFormat="false" ht="11.25" hidden="false" customHeight="false" outlineLevel="0" collapsed="false">
      <c r="R787" s="30"/>
      <c r="S787" s="30"/>
      <c r="T787" s="30"/>
      <c r="U787" s="30"/>
    </row>
    <row r="788" customFormat="false" ht="11.25" hidden="false" customHeight="false" outlineLevel="0" collapsed="false">
      <c r="R788" s="30"/>
      <c r="S788" s="30"/>
      <c r="T788" s="30"/>
      <c r="U788" s="30"/>
    </row>
    <row r="789" customFormat="false" ht="11.25" hidden="false" customHeight="false" outlineLevel="0" collapsed="false">
      <c r="R789" s="30"/>
      <c r="S789" s="30"/>
      <c r="T789" s="30"/>
      <c r="U789" s="30"/>
    </row>
    <row r="790" customFormat="false" ht="11.25" hidden="false" customHeight="false" outlineLevel="0" collapsed="false">
      <c r="R790" s="30"/>
      <c r="S790" s="30"/>
      <c r="T790" s="30"/>
      <c r="U790" s="30"/>
    </row>
    <row r="791" customFormat="false" ht="11.25" hidden="false" customHeight="false" outlineLevel="0" collapsed="false">
      <c r="R791" s="30"/>
      <c r="S791" s="30"/>
      <c r="T791" s="30"/>
      <c r="U791" s="30"/>
    </row>
    <row r="792" customFormat="false" ht="11.25" hidden="false" customHeight="false" outlineLevel="0" collapsed="false">
      <c r="R792" s="30"/>
      <c r="S792" s="30"/>
      <c r="T792" s="30"/>
      <c r="U792" s="30"/>
    </row>
    <row r="793" customFormat="false" ht="11.25" hidden="false" customHeight="false" outlineLevel="0" collapsed="false">
      <c r="R793" s="30"/>
      <c r="S793" s="30"/>
      <c r="T793" s="30"/>
      <c r="U793" s="30"/>
    </row>
    <row r="794" customFormat="false" ht="11.25" hidden="false" customHeight="false" outlineLevel="0" collapsed="false">
      <c r="R794" s="30"/>
      <c r="S794" s="30"/>
      <c r="T794" s="30"/>
      <c r="U794" s="30"/>
    </row>
    <row r="795" customFormat="false" ht="11.25" hidden="false" customHeight="false" outlineLevel="0" collapsed="false">
      <c r="R795" s="30"/>
      <c r="S795" s="30"/>
      <c r="T795" s="30"/>
      <c r="U795" s="30"/>
    </row>
    <row r="796" customFormat="false" ht="11.25" hidden="false" customHeight="false" outlineLevel="0" collapsed="false">
      <c r="R796" s="30"/>
      <c r="S796" s="30"/>
      <c r="T796" s="30"/>
      <c r="U796" s="30"/>
    </row>
    <row r="797" customFormat="false" ht="11.25" hidden="false" customHeight="false" outlineLevel="0" collapsed="false">
      <c r="R797" s="30"/>
      <c r="S797" s="30"/>
      <c r="T797" s="30"/>
      <c r="U797" s="30"/>
    </row>
    <row r="798" customFormat="false" ht="11.25" hidden="false" customHeight="false" outlineLevel="0" collapsed="false">
      <c r="R798" s="30"/>
      <c r="S798" s="30"/>
      <c r="T798" s="30"/>
      <c r="U798" s="30"/>
    </row>
    <row r="799" customFormat="false" ht="11.25" hidden="false" customHeight="false" outlineLevel="0" collapsed="false">
      <c r="R799" s="30"/>
      <c r="S799" s="30"/>
      <c r="T799" s="30"/>
      <c r="U799" s="30"/>
    </row>
    <row r="800" customFormat="false" ht="11.25" hidden="false" customHeight="false" outlineLevel="0" collapsed="false">
      <c r="R800" s="30"/>
      <c r="S800" s="30"/>
      <c r="T800" s="30"/>
      <c r="U800" s="30"/>
    </row>
    <row r="801" customFormat="false" ht="11.25" hidden="false" customHeight="false" outlineLevel="0" collapsed="false">
      <c r="R801" s="30"/>
      <c r="S801" s="30"/>
      <c r="T801" s="30"/>
      <c r="U801" s="30"/>
    </row>
    <row r="802" customFormat="false" ht="11.25" hidden="false" customHeight="false" outlineLevel="0" collapsed="false">
      <c r="R802" s="30"/>
      <c r="S802" s="30"/>
      <c r="T802" s="30"/>
      <c r="U802" s="30"/>
    </row>
    <row r="803" customFormat="false" ht="11.25" hidden="false" customHeight="false" outlineLevel="0" collapsed="false">
      <c r="R803" s="30"/>
      <c r="S803" s="30"/>
      <c r="T803" s="30"/>
      <c r="U803" s="30"/>
    </row>
    <row r="804" customFormat="false" ht="11.25" hidden="false" customHeight="false" outlineLevel="0" collapsed="false">
      <c r="R804" s="30"/>
      <c r="S804" s="30"/>
      <c r="T804" s="30"/>
      <c r="U804" s="30"/>
    </row>
    <row r="805" customFormat="false" ht="11.25" hidden="false" customHeight="false" outlineLevel="0" collapsed="false">
      <c r="R805" s="30"/>
      <c r="S805" s="30"/>
      <c r="T805" s="30"/>
      <c r="U805" s="30"/>
    </row>
    <row r="806" customFormat="false" ht="11.25" hidden="false" customHeight="false" outlineLevel="0" collapsed="false">
      <c r="R806" s="30"/>
      <c r="S806" s="30"/>
      <c r="T806" s="30"/>
      <c r="U806" s="30"/>
    </row>
    <row r="807" customFormat="false" ht="11.25" hidden="false" customHeight="false" outlineLevel="0" collapsed="false">
      <c r="R807" s="30"/>
      <c r="S807" s="30"/>
      <c r="T807" s="30"/>
      <c r="U807" s="30"/>
    </row>
    <row r="808" customFormat="false" ht="11.25" hidden="false" customHeight="false" outlineLevel="0" collapsed="false">
      <c r="R808" s="30"/>
      <c r="S808" s="30"/>
      <c r="T808" s="30"/>
      <c r="U808" s="30"/>
    </row>
    <row r="809" customFormat="false" ht="11.25" hidden="false" customHeight="false" outlineLevel="0" collapsed="false">
      <c r="R809" s="30"/>
      <c r="S809" s="30"/>
      <c r="T809" s="30"/>
      <c r="U809" s="30"/>
    </row>
    <row r="810" customFormat="false" ht="11.25" hidden="false" customHeight="false" outlineLevel="0" collapsed="false">
      <c r="R810" s="30"/>
      <c r="S810" s="30"/>
      <c r="T810" s="30"/>
      <c r="U810" s="30"/>
    </row>
    <row r="811" customFormat="false" ht="11.25" hidden="false" customHeight="false" outlineLevel="0" collapsed="false">
      <c r="R811" s="30"/>
      <c r="S811" s="30"/>
      <c r="T811" s="30"/>
      <c r="U811" s="30"/>
    </row>
    <row r="812" customFormat="false" ht="11.25" hidden="false" customHeight="false" outlineLevel="0" collapsed="false">
      <c r="R812" s="30"/>
      <c r="S812" s="30"/>
      <c r="T812" s="30"/>
      <c r="U812" s="30"/>
    </row>
    <row r="813" customFormat="false" ht="11.25" hidden="false" customHeight="false" outlineLevel="0" collapsed="false">
      <c r="R813" s="30"/>
      <c r="S813" s="30"/>
      <c r="T813" s="30"/>
      <c r="U813" s="30"/>
    </row>
    <row r="814" customFormat="false" ht="11.25" hidden="false" customHeight="false" outlineLevel="0" collapsed="false">
      <c r="R814" s="30"/>
      <c r="S814" s="30"/>
      <c r="T814" s="30"/>
      <c r="U814" s="30"/>
    </row>
    <row r="815" customFormat="false" ht="11.25" hidden="false" customHeight="false" outlineLevel="0" collapsed="false">
      <c r="R815" s="30"/>
      <c r="S815" s="30"/>
      <c r="T815" s="30"/>
      <c r="U815" s="30"/>
    </row>
    <row r="816" customFormat="false" ht="11.25" hidden="false" customHeight="false" outlineLevel="0" collapsed="false">
      <c r="R816" s="30"/>
      <c r="S816" s="30"/>
      <c r="T816" s="30"/>
      <c r="U816" s="30"/>
    </row>
    <row r="817" customFormat="false" ht="11.25" hidden="false" customHeight="false" outlineLevel="0" collapsed="false">
      <c r="R817" s="30"/>
      <c r="S817" s="30"/>
      <c r="T817" s="30"/>
      <c r="U817" s="30"/>
    </row>
    <row r="818" customFormat="false" ht="11.25" hidden="false" customHeight="false" outlineLevel="0" collapsed="false">
      <c r="R818" s="30"/>
      <c r="S818" s="30"/>
      <c r="T818" s="30"/>
      <c r="U818" s="30"/>
    </row>
    <row r="819" customFormat="false" ht="11.25" hidden="false" customHeight="false" outlineLevel="0" collapsed="false">
      <c r="R819" s="30"/>
      <c r="S819" s="30"/>
      <c r="T819" s="30"/>
      <c r="U819" s="30"/>
    </row>
    <row r="820" customFormat="false" ht="11.25" hidden="false" customHeight="false" outlineLevel="0" collapsed="false">
      <c r="R820" s="30"/>
      <c r="S820" s="30"/>
      <c r="T820" s="30"/>
      <c r="U820" s="30"/>
    </row>
    <row r="821" customFormat="false" ht="11.25" hidden="false" customHeight="false" outlineLevel="0" collapsed="false">
      <c r="R821" s="30"/>
      <c r="S821" s="30"/>
      <c r="T821" s="30"/>
      <c r="U821" s="30"/>
    </row>
    <row r="822" customFormat="false" ht="11.25" hidden="false" customHeight="false" outlineLevel="0" collapsed="false">
      <c r="R822" s="30"/>
      <c r="S822" s="30"/>
      <c r="T822" s="30"/>
      <c r="U822" s="30"/>
    </row>
    <row r="823" customFormat="false" ht="11.25" hidden="false" customHeight="false" outlineLevel="0" collapsed="false">
      <c r="R823" s="30"/>
      <c r="S823" s="30"/>
      <c r="T823" s="30"/>
      <c r="U823" s="30"/>
    </row>
    <row r="824" customFormat="false" ht="11.25" hidden="false" customHeight="false" outlineLevel="0" collapsed="false">
      <c r="R824" s="30"/>
      <c r="S824" s="30"/>
      <c r="T824" s="30"/>
      <c r="U824" s="30"/>
    </row>
    <row r="825" customFormat="false" ht="11.25" hidden="false" customHeight="false" outlineLevel="0" collapsed="false">
      <c r="R825" s="30"/>
      <c r="S825" s="30"/>
      <c r="T825" s="30"/>
      <c r="U825" s="30"/>
    </row>
    <row r="826" customFormat="false" ht="11.25" hidden="false" customHeight="false" outlineLevel="0" collapsed="false">
      <c r="R826" s="30"/>
      <c r="S826" s="30"/>
      <c r="T826" s="30"/>
      <c r="U826" s="30"/>
    </row>
    <row r="827" customFormat="false" ht="11.25" hidden="false" customHeight="false" outlineLevel="0" collapsed="false">
      <c r="R827" s="30"/>
      <c r="S827" s="30"/>
      <c r="T827" s="30"/>
      <c r="U827" s="30"/>
    </row>
    <row r="828" customFormat="false" ht="11.25" hidden="false" customHeight="false" outlineLevel="0" collapsed="false">
      <c r="R828" s="30"/>
      <c r="S828" s="30"/>
      <c r="T828" s="30"/>
      <c r="U828" s="30"/>
    </row>
    <row r="829" customFormat="false" ht="11.25" hidden="false" customHeight="false" outlineLevel="0" collapsed="false">
      <c r="R829" s="30"/>
      <c r="S829" s="30"/>
      <c r="T829" s="30"/>
      <c r="U829" s="30"/>
    </row>
    <row r="830" customFormat="false" ht="11.25" hidden="false" customHeight="false" outlineLevel="0" collapsed="false">
      <c r="R830" s="30"/>
      <c r="S830" s="30"/>
      <c r="T830" s="30"/>
      <c r="U830" s="30"/>
    </row>
    <row r="831" customFormat="false" ht="11.25" hidden="false" customHeight="false" outlineLevel="0" collapsed="false">
      <c r="R831" s="30"/>
      <c r="S831" s="30"/>
      <c r="T831" s="30"/>
      <c r="U831" s="30"/>
    </row>
    <row r="832" customFormat="false" ht="11.25" hidden="false" customHeight="false" outlineLevel="0" collapsed="false">
      <c r="R832" s="30"/>
      <c r="S832" s="30"/>
      <c r="T832" s="30"/>
      <c r="U832" s="30"/>
    </row>
    <row r="833" customFormat="false" ht="11.25" hidden="false" customHeight="false" outlineLevel="0" collapsed="false">
      <c r="R833" s="30"/>
      <c r="S833" s="30"/>
      <c r="T833" s="30"/>
      <c r="U833" s="30"/>
    </row>
    <row r="834" customFormat="false" ht="11.25" hidden="false" customHeight="false" outlineLevel="0" collapsed="false">
      <c r="R834" s="30"/>
      <c r="S834" s="30"/>
      <c r="T834" s="30"/>
      <c r="U834" s="30"/>
    </row>
    <row r="835" customFormat="false" ht="11.25" hidden="false" customHeight="false" outlineLevel="0" collapsed="false">
      <c r="R835" s="30"/>
      <c r="S835" s="30"/>
      <c r="T835" s="30"/>
      <c r="U835" s="30"/>
    </row>
    <row r="836" customFormat="false" ht="11.25" hidden="false" customHeight="false" outlineLevel="0" collapsed="false">
      <c r="R836" s="30"/>
      <c r="S836" s="30"/>
      <c r="T836" s="30"/>
      <c r="U836" s="30"/>
    </row>
    <row r="837" customFormat="false" ht="11.25" hidden="false" customHeight="false" outlineLevel="0" collapsed="false">
      <c r="R837" s="30"/>
      <c r="S837" s="30"/>
      <c r="T837" s="30"/>
      <c r="U837" s="30"/>
    </row>
    <row r="838" customFormat="false" ht="11.25" hidden="false" customHeight="false" outlineLevel="0" collapsed="false">
      <c r="R838" s="30"/>
      <c r="S838" s="30"/>
      <c r="T838" s="30"/>
      <c r="U838" s="30"/>
    </row>
    <row r="839" customFormat="false" ht="11.25" hidden="false" customHeight="false" outlineLevel="0" collapsed="false">
      <c r="R839" s="30"/>
      <c r="S839" s="30"/>
      <c r="T839" s="30"/>
      <c r="U839" s="30"/>
    </row>
    <row r="840" customFormat="false" ht="11.25" hidden="false" customHeight="false" outlineLevel="0" collapsed="false">
      <c r="R840" s="30"/>
      <c r="S840" s="30"/>
      <c r="T840" s="30"/>
      <c r="U840" s="30"/>
    </row>
    <row r="841" customFormat="false" ht="11.25" hidden="false" customHeight="false" outlineLevel="0" collapsed="false">
      <c r="R841" s="30"/>
      <c r="S841" s="30"/>
      <c r="T841" s="30"/>
      <c r="U841" s="30"/>
    </row>
    <row r="842" customFormat="false" ht="11.25" hidden="false" customHeight="false" outlineLevel="0" collapsed="false">
      <c r="R842" s="30"/>
      <c r="S842" s="30"/>
      <c r="T842" s="30"/>
      <c r="U842" s="30"/>
    </row>
    <row r="843" customFormat="false" ht="11.25" hidden="false" customHeight="false" outlineLevel="0" collapsed="false">
      <c r="R843" s="30"/>
      <c r="S843" s="30"/>
      <c r="T843" s="30"/>
      <c r="U843" s="30"/>
    </row>
    <row r="844" customFormat="false" ht="11.25" hidden="false" customHeight="false" outlineLevel="0" collapsed="false">
      <c r="R844" s="30"/>
      <c r="S844" s="30"/>
      <c r="T844" s="30"/>
      <c r="U844" s="30"/>
    </row>
    <row r="845" customFormat="false" ht="11.25" hidden="false" customHeight="false" outlineLevel="0" collapsed="false">
      <c r="R845" s="30"/>
      <c r="S845" s="30"/>
      <c r="T845" s="30"/>
      <c r="U845" s="30"/>
    </row>
    <row r="846" customFormat="false" ht="11.25" hidden="false" customHeight="false" outlineLevel="0" collapsed="false">
      <c r="R846" s="30"/>
      <c r="S846" s="30"/>
      <c r="T846" s="30"/>
      <c r="U846" s="30"/>
    </row>
    <row r="847" customFormat="false" ht="11.25" hidden="false" customHeight="false" outlineLevel="0" collapsed="false">
      <c r="R847" s="30"/>
      <c r="S847" s="30"/>
      <c r="T847" s="30"/>
      <c r="U847" s="30"/>
    </row>
    <row r="848" customFormat="false" ht="11.25" hidden="false" customHeight="false" outlineLevel="0" collapsed="false">
      <c r="R848" s="30"/>
      <c r="S848" s="30"/>
      <c r="T848" s="30"/>
      <c r="U848" s="30"/>
    </row>
    <row r="849" customFormat="false" ht="11.25" hidden="false" customHeight="false" outlineLevel="0" collapsed="false">
      <c r="R849" s="30"/>
      <c r="S849" s="30"/>
      <c r="T849" s="30"/>
      <c r="U849" s="30"/>
    </row>
    <row r="850" customFormat="false" ht="11.25" hidden="false" customHeight="false" outlineLevel="0" collapsed="false">
      <c r="R850" s="30"/>
      <c r="S850" s="30"/>
      <c r="T850" s="30"/>
      <c r="U850" s="30"/>
    </row>
    <row r="851" customFormat="false" ht="11.25" hidden="false" customHeight="false" outlineLevel="0" collapsed="false">
      <c r="R851" s="30"/>
      <c r="S851" s="30"/>
      <c r="T851" s="30"/>
      <c r="U851" s="30"/>
    </row>
    <row r="852" customFormat="false" ht="11.25" hidden="false" customHeight="false" outlineLevel="0" collapsed="false">
      <c r="R852" s="30"/>
      <c r="S852" s="30"/>
      <c r="T852" s="30"/>
      <c r="U852" s="30"/>
    </row>
    <row r="853" customFormat="false" ht="11.25" hidden="false" customHeight="false" outlineLevel="0" collapsed="false">
      <c r="R853" s="30"/>
      <c r="S853" s="30"/>
      <c r="T853" s="30"/>
      <c r="U853" s="30"/>
    </row>
    <row r="854" customFormat="false" ht="11.25" hidden="false" customHeight="false" outlineLevel="0" collapsed="false">
      <c r="R854" s="30"/>
      <c r="S854" s="30"/>
      <c r="T854" s="30"/>
      <c r="U854" s="30"/>
    </row>
    <row r="855" customFormat="false" ht="11.25" hidden="false" customHeight="false" outlineLevel="0" collapsed="false">
      <c r="R855" s="30"/>
      <c r="S855" s="30"/>
      <c r="T855" s="30"/>
      <c r="U855" s="30"/>
    </row>
    <row r="856" customFormat="false" ht="11.25" hidden="false" customHeight="false" outlineLevel="0" collapsed="false">
      <c r="R856" s="30"/>
      <c r="S856" s="30"/>
      <c r="T856" s="30"/>
      <c r="U856" s="30"/>
    </row>
    <row r="857" customFormat="false" ht="11.25" hidden="false" customHeight="false" outlineLevel="0" collapsed="false">
      <c r="R857" s="30"/>
      <c r="S857" s="30"/>
      <c r="T857" s="30"/>
      <c r="U857" s="30"/>
    </row>
    <row r="858" customFormat="false" ht="11.25" hidden="false" customHeight="false" outlineLevel="0" collapsed="false">
      <c r="R858" s="30"/>
      <c r="S858" s="30"/>
      <c r="T858" s="30"/>
      <c r="U858" s="30"/>
    </row>
    <row r="859" customFormat="false" ht="11.25" hidden="false" customHeight="false" outlineLevel="0" collapsed="false">
      <c r="R859" s="30"/>
      <c r="S859" s="30"/>
      <c r="T859" s="30"/>
      <c r="U859" s="30"/>
    </row>
    <row r="860" customFormat="false" ht="11.25" hidden="false" customHeight="false" outlineLevel="0" collapsed="false">
      <c r="R860" s="30"/>
      <c r="S860" s="30"/>
      <c r="T860" s="30"/>
      <c r="U860" s="30"/>
    </row>
    <row r="861" customFormat="false" ht="11.25" hidden="false" customHeight="false" outlineLevel="0" collapsed="false">
      <c r="R861" s="30"/>
      <c r="S861" s="30"/>
      <c r="T861" s="30"/>
      <c r="U861" s="30"/>
    </row>
    <row r="862" customFormat="false" ht="11.25" hidden="false" customHeight="false" outlineLevel="0" collapsed="false">
      <c r="R862" s="30"/>
      <c r="S862" s="30"/>
      <c r="T862" s="30"/>
      <c r="U862" s="30"/>
    </row>
    <row r="863" customFormat="false" ht="11.25" hidden="false" customHeight="false" outlineLevel="0" collapsed="false">
      <c r="R863" s="30"/>
      <c r="S863" s="30"/>
      <c r="T863" s="30"/>
      <c r="U863" s="30"/>
    </row>
    <row r="864" customFormat="false" ht="11.25" hidden="false" customHeight="false" outlineLevel="0" collapsed="false">
      <c r="R864" s="30"/>
      <c r="S864" s="30"/>
      <c r="T864" s="30"/>
      <c r="U864" s="30"/>
    </row>
    <row r="865" customFormat="false" ht="11.25" hidden="false" customHeight="false" outlineLevel="0" collapsed="false">
      <c r="R865" s="30"/>
      <c r="S865" s="30"/>
      <c r="T865" s="30"/>
      <c r="U865" s="30"/>
    </row>
    <row r="866" customFormat="false" ht="11.25" hidden="false" customHeight="false" outlineLevel="0" collapsed="false">
      <c r="R866" s="30"/>
      <c r="S866" s="30"/>
      <c r="T866" s="30"/>
      <c r="U866" s="30"/>
    </row>
    <row r="867" customFormat="false" ht="11.25" hidden="false" customHeight="false" outlineLevel="0" collapsed="false">
      <c r="R867" s="30"/>
      <c r="S867" s="30"/>
      <c r="T867" s="30"/>
      <c r="U867" s="30"/>
    </row>
    <row r="868" customFormat="false" ht="11.25" hidden="false" customHeight="false" outlineLevel="0" collapsed="false">
      <c r="R868" s="30"/>
      <c r="S868" s="30"/>
      <c r="T868" s="30"/>
      <c r="U868" s="30"/>
    </row>
    <row r="869" customFormat="false" ht="11.25" hidden="false" customHeight="false" outlineLevel="0" collapsed="false">
      <c r="R869" s="30"/>
      <c r="S869" s="30"/>
      <c r="T869" s="30"/>
      <c r="U869" s="30"/>
    </row>
    <row r="870" customFormat="false" ht="11.25" hidden="false" customHeight="false" outlineLevel="0" collapsed="false">
      <c r="R870" s="30"/>
      <c r="S870" s="30"/>
      <c r="T870" s="30"/>
      <c r="U870" s="30"/>
    </row>
    <row r="871" customFormat="false" ht="11.25" hidden="false" customHeight="false" outlineLevel="0" collapsed="false">
      <c r="R871" s="30"/>
      <c r="S871" s="30"/>
      <c r="T871" s="30"/>
      <c r="U871" s="30"/>
    </row>
    <row r="872" customFormat="false" ht="11.25" hidden="false" customHeight="false" outlineLevel="0" collapsed="false">
      <c r="R872" s="30"/>
      <c r="S872" s="30"/>
      <c r="T872" s="30"/>
      <c r="U872" s="30"/>
    </row>
    <row r="873" customFormat="false" ht="11.25" hidden="false" customHeight="false" outlineLevel="0" collapsed="false">
      <c r="R873" s="30"/>
      <c r="S873" s="30"/>
      <c r="T873" s="30"/>
      <c r="U873" s="30"/>
    </row>
    <row r="874" customFormat="false" ht="11.25" hidden="false" customHeight="false" outlineLevel="0" collapsed="false">
      <c r="R874" s="30"/>
      <c r="S874" s="30"/>
      <c r="T874" s="30"/>
      <c r="U874" s="30"/>
    </row>
    <row r="875" customFormat="false" ht="11.25" hidden="false" customHeight="false" outlineLevel="0" collapsed="false">
      <c r="R875" s="30"/>
      <c r="S875" s="30"/>
      <c r="T875" s="30"/>
      <c r="U875" s="30"/>
    </row>
    <row r="876" customFormat="false" ht="11.25" hidden="false" customHeight="false" outlineLevel="0" collapsed="false">
      <c r="R876" s="30"/>
      <c r="S876" s="30"/>
      <c r="T876" s="30"/>
      <c r="U876" s="30"/>
    </row>
    <row r="877" customFormat="false" ht="11.25" hidden="false" customHeight="false" outlineLevel="0" collapsed="false">
      <c r="R877" s="30"/>
      <c r="S877" s="30"/>
      <c r="T877" s="30"/>
      <c r="U877" s="30"/>
    </row>
    <row r="878" customFormat="false" ht="11.25" hidden="false" customHeight="false" outlineLevel="0" collapsed="false">
      <c r="R878" s="30"/>
      <c r="S878" s="30"/>
      <c r="T878" s="30"/>
      <c r="U878" s="30"/>
    </row>
    <row r="879" customFormat="false" ht="11.25" hidden="false" customHeight="false" outlineLevel="0" collapsed="false">
      <c r="R879" s="30"/>
      <c r="S879" s="30"/>
      <c r="T879" s="30"/>
      <c r="U879" s="30"/>
    </row>
    <row r="880" customFormat="false" ht="11.25" hidden="false" customHeight="false" outlineLevel="0" collapsed="false">
      <c r="R880" s="30"/>
      <c r="S880" s="30"/>
      <c r="T880" s="30"/>
      <c r="U880" s="30"/>
    </row>
    <row r="881" customFormat="false" ht="11.25" hidden="false" customHeight="false" outlineLevel="0" collapsed="false">
      <c r="R881" s="30"/>
      <c r="S881" s="30"/>
      <c r="T881" s="30"/>
      <c r="U881" s="30"/>
    </row>
    <row r="882" customFormat="false" ht="11.25" hidden="false" customHeight="false" outlineLevel="0" collapsed="false">
      <c r="R882" s="30"/>
      <c r="S882" s="30"/>
      <c r="T882" s="30"/>
      <c r="U882" s="30"/>
    </row>
    <row r="883" customFormat="false" ht="11.25" hidden="false" customHeight="false" outlineLevel="0" collapsed="false">
      <c r="R883" s="30"/>
      <c r="S883" s="30"/>
      <c r="T883" s="30"/>
      <c r="U883" s="30"/>
    </row>
    <row r="884" customFormat="false" ht="11.25" hidden="false" customHeight="false" outlineLevel="0" collapsed="false">
      <c r="R884" s="30"/>
      <c r="S884" s="30"/>
      <c r="T884" s="30"/>
      <c r="U884" s="30"/>
    </row>
    <row r="885" customFormat="false" ht="11.25" hidden="false" customHeight="false" outlineLevel="0" collapsed="false">
      <c r="R885" s="30"/>
      <c r="S885" s="30"/>
      <c r="T885" s="30"/>
      <c r="U885" s="30"/>
    </row>
    <row r="886" customFormat="false" ht="11.25" hidden="false" customHeight="false" outlineLevel="0" collapsed="false">
      <c r="R886" s="30"/>
      <c r="S886" s="30"/>
      <c r="T886" s="30"/>
      <c r="U886" s="30"/>
    </row>
    <row r="887" customFormat="false" ht="11.25" hidden="false" customHeight="false" outlineLevel="0" collapsed="false">
      <c r="R887" s="30"/>
      <c r="S887" s="30"/>
      <c r="T887" s="30"/>
      <c r="U887" s="30"/>
    </row>
    <row r="888" customFormat="false" ht="11.25" hidden="false" customHeight="false" outlineLevel="0" collapsed="false">
      <c r="R888" s="30"/>
      <c r="S888" s="30"/>
      <c r="T888" s="30"/>
      <c r="U888" s="30"/>
    </row>
    <row r="889" customFormat="false" ht="11.25" hidden="false" customHeight="false" outlineLevel="0" collapsed="false">
      <c r="R889" s="30"/>
      <c r="S889" s="30"/>
      <c r="T889" s="30"/>
      <c r="U889" s="30"/>
    </row>
    <row r="890" customFormat="false" ht="11.25" hidden="false" customHeight="false" outlineLevel="0" collapsed="false">
      <c r="R890" s="30"/>
      <c r="S890" s="30"/>
      <c r="T890" s="30"/>
      <c r="U890" s="30"/>
    </row>
    <row r="891" customFormat="false" ht="11.25" hidden="false" customHeight="false" outlineLevel="0" collapsed="false">
      <c r="R891" s="30"/>
      <c r="S891" s="30"/>
      <c r="T891" s="30"/>
      <c r="U891" s="30"/>
    </row>
    <row r="892" customFormat="false" ht="11.25" hidden="false" customHeight="false" outlineLevel="0" collapsed="false">
      <c r="R892" s="30"/>
      <c r="S892" s="30"/>
      <c r="T892" s="30"/>
      <c r="U892" s="30"/>
    </row>
    <row r="893" customFormat="false" ht="11.25" hidden="false" customHeight="false" outlineLevel="0" collapsed="false">
      <c r="R893" s="30"/>
      <c r="S893" s="30"/>
      <c r="T893" s="30"/>
      <c r="U893" s="30"/>
    </row>
    <row r="894" customFormat="false" ht="11.25" hidden="false" customHeight="false" outlineLevel="0" collapsed="false">
      <c r="R894" s="30"/>
      <c r="S894" s="30"/>
      <c r="T894" s="30"/>
      <c r="U894" s="30"/>
    </row>
    <row r="895" customFormat="false" ht="11.25" hidden="false" customHeight="false" outlineLevel="0" collapsed="false">
      <c r="R895" s="30"/>
      <c r="S895" s="30"/>
      <c r="T895" s="30"/>
      <c r="U895" s="30"/>
    </row>
    <row r="896" customFormat="false" ht="11.25" hidden="false" customHeight="false" outlineLevel="0" collapsed="false">
      <c r="R896" s="30"/>
      <c r="S896" s="30"/>
      <c r="T896" s="30"/>
      <c r="U896" s="30"/>
    </row>
    <row r="897" customFormat="false" ht="11.25" hidden="false" customHeight="false" outlineLevel="0" collapsed="false">
      <c r="R897" s="30"/>
      <c r="S897" s="30"/>
      <c r="T897" s="30"/>
      <c r="U897" s="30"/>
    </row>
    <row r="898" customFormat="false" ht="11.25" hidden="false" customHeight="false" outlineLevel="0" collapsed="false">
      <c r="R898" s="30"/>
      <c r="S898" s="30"/>
      <c r="T898" s="30"/>
      <c r="U898" s="30"/>
    </row>
    <row r="899" customFormat="false" ht="11.25" hidden="false" customHeight="false" outlineLevel="0" collapsed="false">
      <c r="R899" s="30"/>
      <c r="S899" s="30"/>
      <c r="T899" s="30"/>
      <c r="U899" s="30"/>
    </row>
    <row r="900" customFormat="false" ht="11.25" hidden="false" customHeight="false" outlineLevel="0" collapsed="false">
      <c r="R900" s="30"/>
      <c r="S900" s="30"/>
      <c r="T900" s="30"/>
      <c r="U900" s="30"/>
    </row>
    <row r="901" customFormat="false" ht="11.25" hidden="false" customHeight="false" outlineLevel="0" collapsed="false">
      <c r="R901" s="30"/>
      <c r="S901" s="30"/>
      <c r="T901" s="30"/>
      <c r="U901" s="30"/>
    </row>
    <row r="902" customFormat="false" ht="11.25" hidden="false" customHeight="false" outlineLevel="0" collapsed="false">
      <c r="R902" s="30"/>
      <c r="S902" s="30"/>
      <c r="T902" s="30"/>
      <c r="U902" s="30"/>
    </row>
    <row r="903" customFormat="false" ht="11.25" hidden="false" customHeight="false" outlineLevel="0" collapsed="false">
      <c r="R903" s="30"/>
      <c r="S903" s="30"/>
      <c r="T903" s="30"/>
      <c r="U903" s="30"/>
    </row>
    <row r="904" customFormat="false" ht="11.25" hidden="false" customHeight="false" outlineLevel="0" collapsed="false">
      <c r="R904" s="30"/>
      <c r="S904" s="30"/>
      <c r="T904" s="30"/>
      <c r="U904" s="30"/>
    </row>
    <row r="905" customFormat="false" ht="11.25" hidden="false" customHeight="false" outlineLevel="0" collapsed="false">
      <c r="R905" s="30"/>
      <c r="S905" s="30"/>
      <c r="T905" s="30"/>
      <c r="U905" s="30"/>
    </row>
    <row r="906" customFormat="false" ht="11.25" hidden="false" customHeight="false" outlineLevel="0" collapsed="false">
      <c r="R906" s="30"/>
      <c r="S906" s="30"/>
      <c r="T906" s="30"/>
      <c r="U906" s="30"/>
    </row>
    <row r="907" customFormat="false" ht="11.25" hidden="false" customHeight="false" outlineLevel="0" collapsed="false">
      <c r="R907" s="30"/>
      <c r="S907" s="30"/>
      <c r="T907" s="30"/>
      <c r="U907" s="30"/>
    </row>
    <row r="908" customFormat="false" ht="11.25" hidden="false" customHeight="false" outlineLevel="0" collapsed="false">
      <c r="R908" s="30"/>
      <c r="S908" s="30"/>
      <c r="T908" s="30"/>
      <c r="U908" s="30"/>
    </row>
    <row r="909" customFormat="false" ht="11.25" hidden="false" customHeight="false" outlineLevel="0" collapsed="false">
      <c r="R909" s="30"/>
      <c r="S909" s="30"/>
      <c r="T909" s="30"/>
      <c r="U909" s="30"/>
    </row>
    <row r="910" customFormat="false" ht="11.25" hidden="false" customHeight="false" outlineLevel="0" collapsed="false">
      <c r="R910" s="30"/>
      <c r="S910" s="30"/>
      <c r="T910" s="30"/>
      <c r="U910" s="30"/>
    </row>
    <row r="911" customFormat="false" ht="11.25" hidden="false" customHeight="false" outlineLevel="0" collapsed="false">
      <c r="R911" s="30"/>
      <c r="S911" s="30"/>
      <c r="T911" s="30"/>
      <c r="U911" s="30"/>
    </row>
    <row r="912" customFormat="false" ht="11.25" hidden="false" customHeight="false" outlineLevel="0" collapsed="false">
      <c r="R912" s="30"/>
      <c r="S912" s="30"/>
      <c r="T912" s="30"/>
      <c r="U912" s="30"/>
    </row>
    <row r="913" customFormat="false" ht="11.25" hidden="false" customHeight="false" outlineLevel="0" collapsed="false">
      <c r="R913" s="30"/>
      <c r="S913" s="30"/>
      <c r="T913" s="30"/>
      <c r="U913" s="30"/>
    </row>
    <row r="914" customFormat="false" ht="11.25" hidden="false" customHeight="false" outlineLevel="0" collapsed="false">
      <c r="R914" s="30"/>
      <c r="S914" s="30"/>
      <c r="T914" s="30"/>
      <c r="U914" s="30"/>
    </row>
    <row r="915" customFormat="false" ht="11.25" hidden="false" customHeight="false" outlineLevel="0" collapsed="false">
      <c r="R915" s="30"/>
      <c r="S915" s="30"/>
      <c r="T915" s="30"/>
      <c r="U915" s="30"/>
    </row>
    <row r="916" customFormat="false" ht="11.25" hidden="false" customHeight="false" outlineLevel="0" collapsed="false">
      <c r="R916" s="30"/>
      <c r="S916" s="30"/>
      <c r="T916" s="30"/>
      <c r="U916" s="30"/>
    </row>
    <row r="917" customFormat="false" ht="11.25" hidden="false" customHeight="false" outlineLevel="0" collapsed="false">
      <c r="R917" s="30"/>
      <c r="S917" s="30"/>
      <c r="T917" s="30"/>
      <c r="U917" s="30"/>
    </row>
    <row r="918" customFormat="false" ht="11.25" hidden="false" customHeight="false" outlineLevel="0" collapsed="false">
      <c r="R918" s="30"/>
      <c r="S918" s="30"/>
      <c r="T918" s="30"/>
      <c r="U918" s="30"/>
    </row>
    <row r="919" customFormat="false" ht="11.25" hidden="false" customHeight="false" outlineLevel="0" collapsed="false">
      <c r="R919" s="30"/>
      <c r="S919" s="30"/>
      <c r="T919" s="30"/>
      <c r="U919" s="30"/>
    </row>
    <row r="920" customFormat="false" ht="11.25" hidden="false" customHeight="false" outlineLevel="0" collapsed="false">
      <c r="R920" s="30"/>
      <c r="S920" s="30"/>
      <c r="T920" s="30"/>
      <c r="U920" s="30"/>
    </row>
    <row r="921" customFormat="false" ht="11.25" hidden="false" customHeight="false" outlineLevel="0" collapsed="false">
      <c r="R921" s="30"/>
      <c r="S921" s="30"/>
      <c r="T921" s="30"/>
      <c r="U921" s="30"/>
    </row>
    <row r="922" customFormat="false" ht="11.25" hidden="false" customHeight="false" outlineLevel="0" collapsed="false">
      <c r="R922" s="30"/>
      <c r="S922" s="30"/>
      <c r="T922" s="30"/>
      <c r="U922" s="30"/>
    </row>
    <row r="923" customFormat="false" ht="11.25" hidden="false" customHeight="false" outlineLevel="0" collapsed="false">
      <c r="R923" s="30"/>
      <c r="S923" s="30"/>
      <c r="T923" s="30"/>
      <c r="U923" s="30"/>
    </row>
    <row r="924" customFormat="false" ht="11.25" hidden="false" customHeight="false" outlineLevel="0" collapsed="false">
      <c r="R924" s="30"/>
      <c r="S924" s="30"/>
      <c r="T924" s="30"/>
      <c r="U924" s="30"/>
    </row>
    <row r="925" customFormat="false" ht="11.25" hidden="false" customHeight="false" outlineLevel="0" collapsed="false">
      <c r="R925" s="30"/>
      <c r="S925" s="30"/>
      <c r="T925" s="30"/>
      <c r="U925" s="30"/>
    </row>
    <row r="926" customFormat="false" ht="11.25" hidden="false" customHeight="false" outlineLevel="0" collapsed="false">
      <c r="R926" s="30"/>
      <c r="S926" s="30"/>
      <c r="T926" s="30"/>
      <c r="U926" s="30"/>
    </row>
    <row r="927" customFormat="false" ht="11.25" hidden="false" customHeight="false" outlineLevel="0" collapsed="false">
      <c r="R927" s="30"/>
      <c r="S927" s="30"/>
      <c r="T927" s="30"/>
      <c r="U927" s="30"/>
    </row>
    <row r="928" customFormat="false" ht="11.25" hidden="false" customHeight="false" outlineLevel="0" collapsed="false">
      <c r="R928" s="30"/>
      <c r="S928" s="30"/>
      <c r="T928" s="30"/>
      <c r="U928" s="30"/>
    </row>
    <row r="929" customFormat="false" ht="11.25" hidden="false" customHeight="false" outlineLevel="0" collapsed="false">
      <c r="R929" s="30"/>
      <c r="S929" s="30"/>
      <c r="T929" s="30"/>
      <c r="U929" s="30"/>
    </row>
    <row r="930" customFormat="false" ht="11.25" hidden="false" customHeight="false" outlineLevel="0" collapsed="false">
      <c r="R930" s="30"/>
      <c r="S930" s="30"/>
      <c r="T930" s="30"/>
      <c r="U930" s="30"/>
    </row>
    <row r="931" customFormat="false" ht="11.25" hidden="false" customHeight="false" outlineLevel="0" collapsed="false">
      <c r="R931" s="30"/>
      <c r="S931" s="30"/>
      <c r="T931" s="30"/>
      <c r="U931" s="30"/>
    </row>
    <row r="932" customFormat="false" ht="11.25" hidden="false" customHeight="false" outlineLevel="0" collapsed="false">
      <c r="R932" s="30"/>
      <c r="S932" s="30"/>
      <c r="T932" s="30"/>
      <c r="U932" s="30"/>
    </row>
    <row r="933" customFormat="false" ht="11.25" hidden="false" customHeight="false" outlineLevel="0" collapsed="false">
      <c r="R933" s="30"/>
      <c r="S933" s="30"/>
      <c r="T933" s="30"/>
      <c r="U933" s="30"/>
    </row>
    <row r="934" customFormat="false" ht="11.25" hidden="false" customHeight="false" outlineLevel="0" collapsed="false">
      <c r="R934" s="30"/>
      <c r="S934" s="30"/>
      <c r="T934" s="30"/>
      <c r="U934" s="30"/>
    </row>
    <row r="935" customFormat="false" ht="11.25" hidden="false" customHeight="false" outlineLevel="0" collapsed="false">
      <c r="R935" s="30"/>
      <c r="S935" s="30"/>
      <c r="T935" s="30"/>
      <c r="U935" s="30"/>
    </row>
    <row r="936" customFormat="false" ht="11.25" hidden="false" customHeight="false" outlineLevel="0" collapsed="false">
      <c r="R936" s="30"/>
      <c r="S936" s="30"/>
      <c r="T936" s="30"/>
      <c r="U936" s="30"/>
    </row>
    <row r="937" customFormat="false" ht="11.25" hidden="false" customHeight="false" outlineLevel="0" collapsed="false">
      <c r="R937" s="30"/>
      <c r="S937" s="30"/>
      <c r="T937" s="30"/>
      <c r="U937" s="30"/>
    </row>
    <row r="938" customFormat="false" ht="11.25" hidden="false" customHeight="false" outlineLevel="0" collapsed="false">
      <c r="R938" s="30"/>
      <c r="S938" s="30"/>
      <c r="T938" s="30"/>
      <c r="U938" s="30"/>
    </row>
    <row r="939" customFormat="false" ht="11.25" hidden="false" customHeight="false" outlineLevel="0" collapsed="false">
      <c r="R939" s="30"/>
      <c r="S939" s="30"/>
      <c r="T939" s="30"/>
      <c r="U939" s="30"/>
    </row>
    <row r="940" customFormat="false" ht="11.25" hidden="false" customHeight="false" outlineLevel="0" collapsed="false">
      <c r="R940" s="30"/>
      <c r="S940" s="30"/>
      <c r="T940" s="30"/>
      <c r="U940" s="30"/>
    </row>
    <row r="941" customFormat="false" ht="11.25" hidden="false" customHeight="false" outlineLevel="0" collapsed="false">
      <c r="R941" s="30"/>
      <c r="S941" s="30"/>
      <c r="T941" s="30"/>
      <c r="U941" s="30"/>
    </row>
    <row r="942" customFormat="false" ht="11.25" hidden="false" customHeight="false" outlineLevel="0" collapsed="false">
      <c r="R942" s="30"/>
      <c r="S942" s="30"/>
      <c r="T942" s="30"/>
      <c r="U942" s="30"/>
    </row>
    <row r="943" customFormat="false" ht="11.25" hidden="false" customHeight="false" outlineLevel="0" collapsed="false">
      <c r="R943" s="30"/>
      <c r="S943" s="30"/>
      <c r="T943" s="30"/>
      <c r="U943" s="30"/>
    </row>
    <row r="944" customFormat="false" ht="11.25" hidden="false" customHeight="false" outlineLevel="0" collapsed="false">
      <c r="R944" s="30"/>
      <c r="S944" s="30"/>
      <c r="T944" s="30"/>
      <c r="U944" s="30"/>
    </row>
    <row r="945" customFormat="false" ht="11.25" hidden="false" customHeight="false" outlineLevel="0" collapsed="false">
      <c r="R945" s="30"/>
      <c r="S945" s="30"/>
      <c r="T945" s="30"/>
      <c r="U945" s="30"/>
    </row>
    <row r="946" customFormat="false" ht="11.25" hidden="false" customHeight="false" outlineLevel="0" collapsed="false">
      <c r="R946" s="30"/>
      <c r="S946" s="30"/>
      <c r="T946" s="30"/>
      <c r="U946" s="30"/>
    </row>
    <row r="947" customFormat="false" ht="11.25" hidden="false" customHeight="false" outlineLevel="0" collapsed="false">
      <c r="R947" s="30"/>
      <c r="S947" s="30"/>
      <c r="T947" s="30"/>
      <c r="U947" s="30"/>
    </row>
    <row r="948" customFormat="false" ht="11.25" hidden="false" customHeight="false" outlineLevel="0" collapsed="false">
      <c r="R948" s="30"/>
      <c r="S948" s="30"/>
      <c r="T948" s="30"/>
      <c r="U948" s="30"/>
    </row>
    <row r="949" customFormat="false" ht="11.25" hidden="false" customHeight="false" outlineLevel="0" collapsed="false">
      <c r="R949" s="30"/>
      <c r="S949" s="30"/>
      <c r="T949" s="30"/>
      <c r="U949" s="30"/>
    </row>
    <row r="950" customFormat="false" ht="11.25" hidden="false" customHeight="false" outlineLevel="0" collapsed="false">
      <c r="R950" s="30"/>
      <c r="S950" s="30"/>
      <c r="T950" s="30"/>
      <c r="U950" s="30"/>
    </row>
    <row r="951" customFormat="false" ht="11.25" hidden="false" customHeight="false" outlineLevel="0" collapsed="false">
      <c r="R951" s="30"/>
      <c r="S951" s="30"/>
      <c r="T951" s="30"/>
      <c r="U951" s="30"/>
    </row>
    <row r="952" customFormat="false" ht="11.25" hidden="false" customHeight="false" outlineLevel="0" collapsed="false">
      <c r="R952" s="30"/>
      <c r="S952" s="30"/>
      <c r="T952" s="30"/>
      <c r="U952" s="30"/>
    </row>
    <row r="953" customFormat="false" ht="11.25" hidden="false" customHeight="false" outlineLevel="0" collapsed="false">
      <c r="R953" s="30"/>
      <c r="S953" s="30"/>
      <c r="T953" s="30"/>
      <c r="U953" s="30"/>
    </row>
    <row r="954" customFormat="false" ht="11.25" hidden="false" customHeight="false" outlineLevel="0" collapsed="false">
      <c r="R954" s="30"/>
      <c r="S954" s="30"/>
      <c r="T954" s="30"/>
      <c r="U954" s="30"/>
    </row>
    <row r="955" customFormat="false" ht="11.25" hidden="false" customHeight="false" outlineLevel="0" collapsed="false">
      <c r="R955" s="30"/>
      <c r="S955" s="30"/>
      <c r="T955" s="30"/>
      <c r="U955" s="30"/>
    </row>
    <row r="956" customFormat="false" ht="11.25" hidden="false" customHeight="false" outlineLevel="0" collapsed="false">
      <c r="R956" s="30"/>
      <c r="S956" s="30"/>
      <c r="T956" s="30"/>
      <c r="U956" s="30"/>
    </row>
    <row r="957" customFormat="false" ht="11.25" hidden="false" customHeight="false" outlineLevel="0" collapsed="false">
      <c r="R957" s="30"/>
      <c r="S957" s="30"/>
      <c r="T957" s="30"/>
      <c r="U957" s="30"/>
    </row>
    <row r="958" customFormat="false" ht="11.25" hidden="false" customHeight="false" outlineLevel="0" collapsed="false">
      <c r="R958" s="30"/>
      <c r="S958" s="30"/>
      <c r="T958" s="30"/>
      <c r="U958" s="30"/>
    </row>
    <row r="959" customFormat="false" ht="11.25" hidden="false" customHeight="false" outlineLevel="0" collapsed="false">
      <c r="R959" s="30"/>
      <c r="S959" s="30"/>
      <c r="T959" s="30"/>
      <c r="U959" s="30"/>
    </row>
    <row r="960" customFormat="false" ht="11.25" hidden="false" customHeight="false" outlineLevel="0" collapsed="false">
      <c r="R960" s="30"/>
      <c r="S960" s="30"/>
      <c r="T960" s="30"/>
      <c r="U960" s="30"/>
    </row>
    <row r="961" customFormat="false" ht="11.25" hidden="false" customHeight="false" outlineLevel="0" collapsed="false">
      <c r="R961" s="30"/>
      <c r="S961" s="30"/>
      <c r="T961" s="30"/>
      <c r="U961" s="30"/>
    </row>
    <row r="962" customFormat="false" ht="11.25" hidden="false" customHeight="false" outlineLevel="0" collapsed="false">
      <c r="R962" s="30"/>
      <c r="S962" s="30"/>
      <c r="T962" s="30"/>
      <c r="U962" s="30"/>
    </row>
    <row r="963" customFormat="false" ht="11.25" hidden="false" customHeight="false" outlineLevel="0" collapsed="false">
      <c r="R963" s="30"/>
      <c r="S963" s="30"/>
      <c r="T963" s="30"/>
      <c r="U963" s="30"/>
    </row>
    <row r="964" customFormat="false" ht="11.25" hidden="false" customHeight="false" outlineLevel="0" collapsed="false">
      <c r="R964" s="30"/>
      <c r="S964" s="30"/>
      <c r="T964" s="30"/>
      <c r="U964" s="30"/>
    </row>
    <row r="965" customFormat="false" ht="11.25" hidden="false" customHeight="false" outlineLevel="0" collapsed="false">
      <c r="R965" s="30"/>
      <c r="S965" s="30"/>
      <c r="T965" s="30"/>
      <c r="U965" s="30"/>
    </row>
    <row r="966" customFormat="false" ht="11.25" hidden="false" customHeight="false" outlineLevel="0" collapsed="false">
      <c r="R966" s="30"/>
      <c r="S966" s="30"/>
      <c r="T966" s="30"/>
      <c r="U966" s="30"/>
    </row>
    <row r="967" customFormat="false" ht="11.25" hidden="false" customHeight="false" outlineLevel="0" collapsed="false">
      <c r="R967" s="30"/>
      <c r="S967" s="30"/>
      <c r="T967" s="30"/>
      <c r="U967" s="30"/>
    </row>
    <row r="968" customFormat="false" ht="11.25" hidden="false" customHeight="false" outlineLevel="0" collapsed="false">
      <c r="R968" s="30"/>
      <c r="S968" s="30"/>
      <c r="T968" s="30"/>
      <c r="U968" s="30"/>
    </row>
    <row r="969" customFormat="false" ht="11.25" hidden="false" customHeight="false" outlineLevel="0" collapsed="false">
      <c r="R969" s="30"/>
      <c r="S969" s="30"/>
      <c r="T969" s="30"/>
      <c r="U969" s="30"/>
    </row>
    <row r="970" customFormat="false" ht="11.25" hidden="false" customHeight="false" outlineLevel="0" collapsed="false">
      <c r="R970" s="30"/>
      <c r="S970" s="30"/>
      <c r="T970" s="30"/>
      <c r="U970" s="30"/>
    </row>
    <row r="971" customFormat="false" ht="11.25" hidden="false" customHeight="false" outlineLevel="0" collapsed="false">
      <c r="R971" s="30"/>
      <c r="S971" s="30"/>
      <c r="T971" s="30"/>
      <c r="U971" s="30"/>
    </row>
    <row r="972" customFormat="false" ht="11.25" hidden="false" customHeight="false" outlineLevel="0" collapsed="false">
      <c r="R972" s="30"/>
      <c r="S972" s="30"/>
      <c r="T972" s="30"/>
      <c r="U972" s="30"/>
    </row>
    <row r="973" customFormat="false" ht="11.25" hidden="false" customHeight="false" outlineLevel="0" collapsed="false">
      <c r="R973" s="30"/>
      <c r="S973" s="30"/>
      <c r="T973" s="30"/>
      <c r="U973" s="30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16"/>
      <c r="B5" s="5" t="s">
        <v>198</v>
      </c>
    </row>
    <row r="6" customFormat="false" ht="12.75" hidden="false" customHeight="false" outlineLevel="0" collapsed="false">
      <c r="A6" s="136"/>
      <c r="B6" s="98" t="n">
        <v>500204</v>
      </c>
      <c r="D6" s="98" t="n">
        <v>500205</v>
      </c>
      <c r="F6" s="98"/>
    </row>
    <row r="7" customFormat="false" ht="12.75" hidden="false" customHeight="false" outlineLevel="0" collapsed="false">
      <c r="A7" s="75" t="s">
        <v>113</v>
      </c>
      <c r="B7" s="101" t="s">
        <v>114</v>
      </c>
      <c r="C7" s="101" t="s">
        <v>115</v>
      </c>
      <c r="D7" s="101" t="s">
        <v>114</v>
      </c>
      <c r="E7" s="101" t="s">
        <v>115</v>
      </c>
    </row>
    <row r="8" customFormat="false" ht="12.75" hidden="false" customHeight="false" outlineLevel="0" collapsed="false">
      <c r="A8" s="107" t="n">
        <v>1</v>
      </c>
      <c r="B8" s="108"/>
      <c r="C8" s="108"/>
      <c r="D8" s="108"/>
      <c r="E8" s="108"/>
      <c r="F8" s="120" t="n">
        <f aca="false">+E8+C8-D8-B8</f>
        <v>0</v>
      </c>
    </row>
    <row r="9" customFormat="false" ht="12.75" hidden="false" customHeight="false" outlineLevel="0" collapsed="false">
      <c r="A9" s="107" t="n">
        <v>2</v>
      </c>
      <c r="B9" s="108"/>
      <c r="C9" s="108"/>
      <c r="D9" s="108"/>
      <c r="E9" s="108"/>
      <c r="F9" s="120" t="n">
        <f aca="false">+E9+C9-D9-B9</f>
        <v>0</v>
      </c>
    </row>
    <row r="10" customFormat="false" ht="12.75" hidden="false" customHeight="false" outlineLevel="0" collapsed="false">
      <c r="A10" s="107" t="n">
        <v>3</v>
      </c>
      <c r="B10" s="108"/>
      <c r="C10" s="108"/>
      <c r="D10" s="108"/>
      <c r="E10" s="108"/>
      <c r="F10" s="120" t="n">
        <f aca="false">+E10+C10-D10-B10</f>
        <v>0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08"/>
      <c r="E11" s="108"/>
      <c r="F11" s="120" t="n">
        <f aca="false">+E11+C11-D11-B11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08"/>
      <c r="E12" s="108"/>
      <c r="F12" s="120" t="n">
        <f aca="false">+E12+C12-D12-B12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20" t="n">
        <f aca="false">+E13+C13-D13-B13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20" t="n">
        <f aca="false">+E14+C14-D14-B14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20" t="n">
        <f aca="false">+E15+C15-D15-B15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20" t="n">
        <f aca="false">+E16+C16-D16-B16</f>
        <v>0</v>
      </c>
    </row>
    <row r="17" customFormat="false" ht="12.75" hidden="false" customHeight="false" outlineLevel="0" collapsed="false">
      <c r="A17" s="107" t="n">
        <v>10</v>
      </c>
      <c r="B17" s="108"/>
      <c r="C17" s="108"/>
      <c r="D17" s="108"/>
      <c r="E17" s="108"/>
      <c r="F17" s="120" t="n">
        <f aca="false">+E17+C17-D17-B17</f>
        <v>0</v>
      </c>
      <c r="J17" s="406"/>
    </row>
    <row r="18" customFormat="false" ht="12.75" hidden="false" customHeight="false" outlineLevel="0" collapsed="false">
      <c r="A18" s="107" t="n">
        <v>11</v>
      </c>
      <c r="B18" s="108"/>
      <c r="C18" s="108"/>
      <c r="D18" s="108"/>
      <c r="E18" s="108"/>
      <c r="F18" s="120" t="n">
        <f aca="false">+E18+C18-D18-B18</f>
        <v>0</v>
      </c>
      <c r="J18" s="9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20" t="n">
        <f aca="false">+E19+C19-D19-B19</f>
        <v>0</v>
      </c>
      <c r="J19" s="86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20" t="n">
        <f aca="false">+E20+C20-D20-B20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20" t="n">
        <f aca="false">+E21+C21-D21-B21</f>
        <v>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20" t="n">
        <f aca="false">+E22+C22-D22-B22</f>
        <v>0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+E23+C23-D23-B23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+E24+C24-D24-B24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+E25+C25-D25-B25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+E35+C35-D35-B35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+E36+C36-D36-B36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+E37+C37-D37-B37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+E38+C38-D38-B38</f>
        <v>0</v>
      </c>
    </row>
    <row r="39" customFormat="false" ht="12.75" hidden="false" customHeight="false" outlineLevel="0" collapsed="false">
      <c r="A39" s="107"/>
      <c r="B39" s="108" t="n">
        <f aca="false">SUM(B8:B38)</f>
        <v>0</v>
      </c>
      <c r="C39" s="108" t="n">
        <f aca="false">SUM(C8:C38)</f>
        <v>0</v>
      </c>
      <c r="D39" s="108" t="n">
        <f aca="false">SUM(D8:D38)</f>
        <v>0</v>
      </c>
      <c r="E39" s="108" t="n">
        <f aca="false">SUM(E8:E38)</f>
        <v>0</v>
      </c>
      <c r="F39" s="120" t="n">
        <f aca="false">SUM(F8:F38)</f>
        <v>0</v>
      </c>
    </row>
    <row r="40" customFormat="false" ht="12.75" hidden="false" customHeight="false" outlineLevel="0" collapsed="false">
      <c r="A40" s="134"/>
      <c r="C40" s="30"/>
      <c r="F40" s="360" t="n">
        <f aca="false">+summary!H4</f>
        <v>2.81</v>
      </c>
    </row>
    <row r="41" customFormat="false" ht="12.75" hidden="false" customHeight="false" outlineLevel="0" collapsed="false">
      <c r="F41" s="132" t="n">
        <f aca="false">+F40*F39</f>
        <v>0</v>
      </c>
    </row>
    <row r="42" customFormat="false" ht="12.75" hidden="false" customHeight="false" outlineLevel="0" collapsed="false">
      <c r="A42" s="152" t="n">
        <v>37103</v>
      </c>
      <c r="C42" s="79"/>
      <c r="F42" s="183" t="n">
        <v>-5216.57</v>
      </c>
    </row>
    <row r="43" customFormat="false" ht="12.75" hidden="false" customHeight="false" outlineLevel="0" collapsed="false">
      <c r="A43" s="152" t="n">
        <v>37130</v>
      </c>
      <c r="C43" s="151"/>
      <c r="F43" s="132" t="n">
        <f aca="false">+F42+F41</f>
        <v>-5216.57</v>
      </c>
    </row>
    <row r="47" customFormat="false" ht="12.75" hidden="false" customHeight="false" outlineLevel="0" collapsed="false">
      <c r="A47" s="9" t="s">
        <v>125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37103</v>
      </c>
      <c r="B48" s="9"/>
      <c r="C48" s="9"/>
      <c r="D48" s="301" t="n">
        <v>-17302</v>
      </c>
    </row>
    <row r="49" customFormat="false" ht="12.75" hidden="false" customHeight="false" outlineLevel="0" collapsed="false">
      <c r="A49" s="124" t="n">
        <f aca="false">+A43</f>
        <v>37130</v>
      </c>
      <c r="B49" s="9"/>
      <c r="C49" s="9"/>
      <c r="D49" s="37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-17302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49" activeCellId="3" sqref="A1 D17 D43 B49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16"/>
      <c r="B5" s="5" t="s">
        <v>199</v>
      </c>
    </row>
    <row r="6" customFormat="false" ht="12.75" hidden="false" customHeight="false" outlineLevel="0" collapsed="false">
      <c r="A6" s="136"/>
      <c r="B6" s="98" t="n">
        <v>9198</v>
      </c>
      <c r="D6" s="98"/>
    </row>
    <row r="7" customFormat="false" ht="12.75" hidden="false" customHeight="false" outlineLevel="0" collapsed="false">
      <c r="A7" s="75" t="s">
        <v>113</v>
      </c>
      <c r="B7" s="101" t="s">
        <v>114</v>
      </c>
      <c r="C7" s="101" t="s">
        <v>115</v>
      </c>
    </row>
    <row r="8" customFormat="false" ht="12.75" hidden="false" customHeight="false" outlineLevel="0" collapsed="false">
      <c r="A8" s="107" t="n">
        <v>1</v>
      </c>
      <c r="B8" s="108" t="n">
        <v>6972</v>
      </c>
      <c r="C8" s="108" t="n">
        <v>7579</v>
      </c>
      <c r="D8" s="120" t="n">
        <f aca="false">+C8-B8</f>
        <v>607</v>
      </c>
    </row>
    <row r="9" customFormat="false" ht="12.75" hidden="false" customHeight="false" outlineLevel="0" collapsed="false">
      <c r="A9" s="107" t="n">
        <v>2</v>
      </c>
      <c r="B9" s="108" t="n">
        <v>4970</v>
      </c>
      <c r="C9" s="108" t="n">
        <v>7579</v>
      </c>
      <c r="D9" s="120" t="n">
        <f aca="false">+C9-B9</f>
        <v>2609</v>
      </c>
    </row>
    <row r="10" customFormat="false" ht="12.75" hidden="false" customHeight="false" outlineLevel="0" collapsed="false">
      <c r="A10" s="107" t="n">
        <v>3</v>
      </c>
      <c r="B10" s="108" t="n">
        <v>7958</v>
      </c>
      <c r="C10" s="108" t="n">
        <v>7579</v>
      </c>
      <c r="D10" s="120" t="n">
        <f aca="false">+C10-B10</f>
        <v>-379</v>
      </c>
    </row>
    <row r="11" customFormat="false" ht="12.75" hidden="false" customHeight="false" outlineLevel="0" collapsed="false">
      <c r="A11" s="107" t="n">
        <v>4</v>
      </c>
      <c r="B11" s="108" t="n">
        <v>7621</v>
      </c>
      <c r="C11" s="108" t="n">
        <v>7579</v>
      </c>
      <c r="D11" s="120" t="n">
        <f aca="false">+C11-B11</f>
        <v>-42</v>
      </c>
    </row>
    <row r="12" customFormat="false" ht="12.75" hidden="false" customHeight="false" outlineLevel="0" collapsed="false">
      <c r="A12" s="107" t="n">
        <v>5</v>
      </c>
      <c r="B12" s="108" t="n">
        <v>7616</v>
      </c>
      <c r="C12" s="108" t="n">
        <v>7579</v>
      </c>
      <c r="D12" s="120" t="n">
        <f aca="false">+C12-B12</f>
        <v>-37</v>
      </c>
    </row>
    <row r="13" customFormat="false" ht="12.75" hidden="false" customHeight="false" outlineLevel="0" collapsed="false">
      <c r="A13" s="107" t="n">
        <v>6</v>
      </c>
      <c r="B13" s="108" t="n">
        <v>5362</v>
      </c>
      <c r="C13" s="108" t="n">
        <v>7579</v>
      </c>
      <c r="D13" s="120" t="n">
        <f aca="false">+C13-B13</f>
        <v>2217</v>
      </c>
    </row>
    <row r="14" customFormat="false" ht="12.75" hidden="false" customHeight="false" outlineLevel="0" collapsed="false">
      <c r="A14" s="107" t="n">
        <v>7</v>
      </c>
      <c r="B14" s="108" t="n">
        <v>2428</v>
      </c>
      <c r="C14" s="108" t="n">
        <v>7579</v>
      </c>
      <c r="D14" s="120" t="n">
        <f aca="false">+C14-B14</f>
        <v>5151</v>
      </c>
    </row>
    <row r="15" customFormat="false" ht="12.75" hidden="false" customHeight="false" outlineLevel="0" collapsed="false">
      <c r="A15" s="107" t="n">
        <v>8</v>
      </c>
      <c r="B15" s="108" t="n">
        <v>1</v>
      </c>
      <c r="C15" s="108" t="n">
        <v>7579</v>
      </c>
      <c r="D15" s="120" t="n">
        <f aca="false">+C15-B15</f>
        <v>7578</v>
      </c>
    </row>
    <row r="16" customFormat="false" ht="12.75" hidden="false" customHeight="false" outlineLevel="0" collapsed="false">
      <c r="A16" s="107" t="n">
        <v>9</v>
      </c>
      <c r="B16" s="108" t="n">
        <v>5773</v>
      </c>
      <c r="C16" s="108" t="n">
        <v>7579</v>
      </c>
      <c r="D16" s="120" t="n">
        <f aca="false">+C16-B16</f>
        <v>1806</v>
      </c>
    </row>
    <row r="17" customFormat="false" ht="12.75" hidden="false" customHeight="false" outlineLevel="0" collapsed="false">
      <c r="A17" s="107" t="n">
        <v>10</v>
      </c>
      <c r="B17" s="108" t="n">
        <v>7988</v>
      </c>
      <c r="C17" s="108" t="n">
        <v>7579</v>
      </c>
      <c r="D17" s="120" t="n">
        <f aca="false">+C17-B17</f>
        <v>-409</v>
      </c>
    </row>
    <row r="18" customFormat="false" ht="12.75" hidden="false" customHeight="false" outlineLevel="0" collapsed="false">
      <c r="A18" s="107" t="n">
        <v>11</v>
      </c>
      <c r="B18" s="108" t="n">
        <v>4392</v>
      </c>
      <c r="C18" s="108" t="n">
        <v>7579</v>
      </c>
      <c r="D18" s="120" t="n">
        <f aca="false">+C18-B18</f>
        <v>3187</v>
      </c>
    </row>
    <row r="19" customFormat="false" ht="12.75" hidden="false" customHeight="false" outlineLevel="0" collapsed="false">
      <c r="A19" s="107" t="n">
        <v>12</v>
      </c>
      <c r="B19" s="108" t="n">
        <v>6883</v>
      </c>
      <c r="C19" s="108" t="n">
        <v>7579</v>
      </c>
      <c r="D19" s="120" t="n">
        <f aca="false">+C19-B19</f>
        <v>696</v>
      </c>
    </row>
    <row r="20" customFormat="false" ht="12.75" hidden="false" customHeight="false" outlineLevel="0" collapsed="false">
      <c r="A20" s="107" t="n">
        <v>13</v>
      </c>
      <c r="B20" s="108" t="n">
        <v>6561</v>
      </c>
      <c r="C20" s="108" t="n">
        <v>7579</v>
      </c>
      <c r="D20" s="120" t="n">
        <f aca="false">+C20-B20</f>
        <v>1018</v>
      </c>
    </row>
    <row r="21" customFormat="false" ht="12.75" hidden="false" customHeight="false" outlineLevel="0" collapsed="false">
      <c r="A21" s="107" t="n">
        <v>14</v>
      </c>
      <c r="B21" s="108" t="n">
        <v>7417</v>
      </c>
      <c r="C21" s="108" t="n">
        <v>7579</v>
      </c>
      <c r="D21" s="120" t="n">
        <f aca="false">+C21-B21</f>
        <v>162</v>
      </c>
    </row>
    <row r="22" customFormat="false" ht="12.75" hidden="false" customHeight="false" outlineLevel="0" collapsed="false">
      <c r="A22" s="107" t="n">
        <v>15</v>
      </c>
      <c r="B22" s="108" t="n">
        <v>7620</v>
      </c>
      <c r="C22" s="108" t="n">
        <v>7579</v>
      </c>
      <c r="D22" s="120" t="n">
        <f aca="false">+C22-B22</f>
        <v>-41</v>
      </c>
    </row>
    <row r="23" customFormat="false" ht="12.75" hidden="false" customHeight="false" outlineLevel="0" collapsed="false">
      <c r="A23" s="107" t="n">
        <v>16</v>
      </c>
      <c r="B23" s="108" t="n">
        <v>7620</v>
      </c>
      <c r="C23" s="108" t="n">
        <v>7579</v>
      </c>
      <c r="D23" s="120" t="n">
        <f aca="false">+C23-B23</f>
        <v>-41</v>
      </c>
    </row>
    <row r="24" customFormat="false" ht="12.75" hidden="false" customHeight="false" outlineLevel="0" collapsed="false">
      <c r="A24" s="107" t="n">
        <v>17</v>
      </c>
      <c r="B24" s="108" t="n">
        <v>8510</v>
      </c>
      <c r="C24" s="108" t="n">
        <v>7579</v>
      </c>
      <c r="D24" s="120" t="n">
        <f aca="false">+C24-B24</f>
        <v>-931</v>
      </c>
    </row>
    <row r="25" customFormat="false" ht="12.75" hidden="false" customHeight="false" outlineLevel="0" collapsed="false">
      <c r="A25" s="107" t="n">
        <v>18</v>
      </c>
      <c r="B25" s="108" t="n">
        <v>8529</v>
      </c>
      <c r="C25" s="108" t="n">
        <v>7579</v>
      </c>
      <c r="D25" s="120" t="n">
        <f aca="false">+C25-B25</f>
        <v>-950</v>
      </c>
    </row>
    <row r="26" customFormat="false" ht="12.75" hidden="false" customHeight="false" outlineLevel="0" collapsed="false">
      <c r="A26" s="107" t="n">
        <v>19</v>
      </c>
      <c r="B26" s="108" t="n">
        <v>8092</v>
      </c>
      <c r="C26" s="108" t="n">
        <v>7579</v>
      </c>
      <c r="D26" s="120" t="n">
        <f aca="false">+C26-B26</f>
        <v>-513</v>
      </c>
    </row>
    <row r="27" customFormat="false" ht="12.75" hidden="false" customHeight="false" outlineLevel="0" collapsed="false">
      <c r="A27" s="107" t="n">
        <v>20</v>
      </c>
      <c r="B27" s="108" t="n">
        <v>0</v>
      </c>
      <c r="C27" s="108" t="n">
        <v>7579</v>
      </c>
      <c r="D27" s="120" t="n">
        <f aca="false">+C27-B27</f>
        <v>7579</v>
      </c>
    </row>
    <row r="28" customFormat="false" ht="12.75" hidden="false" customHeight="false" outlineLevel="0" collapsed="false">
      <c r="A28" s="107" t="n">
        <v>21</v>
      </c>
      <c r="B28" s="108" t="n">
        <v>5449</v>
      </c>
      <c r="C28" s="108" t="n">
        <v>7579</v>
      </c>
      <c r="D28" s="120" t="n">
        <f aca="false">+C28-B28</f>
        <v>2130</v>
      </c>
    </row>
    <row r="29" customFormat="false" ht="12.75" hidden="false" customHeight="false" outlineLevel="0" collapsed="false">
      <c r="A29" s="107" t="n">
        <v>22</v>
      </c>
      <c r="B29" s="108" t="n">
        <v>5406</v>
      </c>
      <c r="C29" s="108" t="n">
        <v>7579</v>
      </c>
      <c r="D29" s="120" t="n">
        <f aca="false">+C29-B29</f>
        <v>2173</v>
      </c>
    </row>
    <row r="30" customFormat="false" ht="12.75" hidden="false" customHeight="false" outlineLevel="0" collapsed="false">
      <c r="A30" s="107" t="n">
        <v>23</v>
      </c>
      <c r="B30" s="108" t="n">
        <v>8530</v>
      </c>
      <c r="C30" s="108" t="n">
        <v>7579</v>
      </c>
      <c r="D30" s="120" t="n">
        <f aca="false">+C30-B30</f>
        <v>-951</v>
      </c>
    </row>
    <row r="31" customFormat="false" ht="12.75" hidden="false" customHeight="false" outlineLevel="0" collapsed="false">
      <c r="A31" s="107" t="n">
        <v>24</v>
      </c>
      <c r="B31" s="108" t="n">
        <v>4380</v>
      </c>
      <c r="C31" s="108" t="n">
        <v>7579</v>
      </c>
      <c r="D31" s="120" t="n">
        <f aca="false">+C31-B31</f>
        <v>3199</v>
      </c>
    </row>
    <row r="32" customFormat="false" ht="12.75" hidden="false" customHeight="false" outlineLevel="0" collapsed="false">
      <c r="A32" s="107" t="n">
        <v>25</v>
      </c>
      <c r="B32" s="108" t="n">
        <v>1310</v>
      </c>
      <c r="C32" s="108" t="n">
        <v>7579</v>
      </c>
      <c r="D32" s="120" t="n">
        <f aca="false">+C32-B32</f>
        <v>6269</v>
      </c>
    </row>
    <row r="33" customFormat="false" ht="12.75" hidden="false" customHeight="false" outlineLevel="0" collapsed="false">
      <c r="A33" s="107" t="n">
        <v>26</v>
      </c>
      <c r="B33" s="108" t="n">
        <v>263</v>
      </c>
      <c r="C33" s="108" t="n">
        <v>7579</v>
      </c>
      <c r="D33" s="120" t="n">
        <f aca="false">+C33-B33</f>
        <v>7316</v>
      </c>
    </row>
    <row r="34" customFormat="false" ht="12.75" hidden="false" customHeight="false" outlineLevel="0" collapsed="false">
      <c r="A34" s="107" t="n">
        <v>27</v>
      </c>
      <c r="B34" s="108" t="n">
        <v>1418</v>
      </c>
      <c r="C34" s="108" t="n">
        <v>7579</v>
      </c>
      <c r="D34" s="120" t="n">
        <f aca="false">+C34-B34</f>
        <v>6161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20" t="n">
        <f aca="false">+C38-B38</f>
        <v>0</v>
      </c>
    </row>
    <row r="39" customFormat="false" ht="12.75" hidden="false" customHeight="false" outlineLevel="0" collapsed="false">
      <c r="A39" s="107"/>
      <c r="B39" s="108" t="n">
        <f aca="false">SUM(B8:B38)</f>
        <v>149069</v>
      </c>
      <c r="C39" s="108" t="n">
        <f aca="false">SUM(C8:C38)</f>
        <v>204633</v>
      </c>
      <c r="D39" s="120" t="n">
        <f aca="false">SUM(D8:D38)</f>
        <v>55564</v>
      </c>
    </row>
    <row r="40" customFormat="false" ht="12.75" hidden="false" customHeight="false" outlineLevel="0" collapsed="false">
      <c r="A40" s="134"/>
      <c r="C40" s="30"/>
      <c r="D40" s="360" t="n">
        <f aca="false">+summary!H4</f>
        <v>2.81</v>
      </c>
    </row>
    <row r="41" customFormat="false" ht="12.75" hidden="false" customHeight="false" outlineLevel="0" collapsed="false">
      <c r="D41" s="132" t="n">
        <f aca="false">+D40*D39</f>
        <v>156134.84</v>
      </c>
    </row>
    <row r="42" customFormat="false" ht="12.75" hidden="false" customHeight="false" outlineLevel="0" collapsed="false">
      <c r="A42" s="152" t="n">
        <v>37103</v>
      </c>
      <c r="C42" s="79"/>
      <c r="D42" s="407" t="n">
        <v>326755</v>
      </c>
    </row>
    <row r="43" customFormat="false" ht="12.75" hidden="false" customHeight="false" outlineLevel="0" collapsed="false">
      <c r="A43" s="152" t="n">
        <v>37130</v>
      </c>
      <c r="C43" s="151"/>
      <c r="D43" s="132" t="n">
        <f aca="false">+D42+D41</f>
        <v>482889.84</v>
      </c>
    </row>
    <row r="46" customFormat="false" ht="12.75" hidden="false" customHeight="false" outlineLevel="0" collapsed="false">
      <c r="A46" s="9" t="s">
        <v>125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30" t="n">
        <v>6289</v>
      </c>
    </row>
    <row r="48" customFormat="false" ht="12.75" hidden="false" customHeight="false" outlineLevel="0" collapsed="false">
      <c r="A48" s="124" t="n">
        <f aca="false">+A43</f>
        <v>37130</v>
      </c>
      <c r="B48" s="9"/>
      <c r="C48" s="9"/>
      <c r="D48" s="37" t="n">
        <f aca="false">+D39</f>
        <v>55564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61853</v>
      </c>
    </row>
    <row r="50" customFormat="false" ht="12.75" hidden="false" customHeight="false" outlineLevel="0" collapsed="false">
      <c r="A50" s="127"/>
      <c r="B50" s="128"/>
      <c r="C50" s="129"/>
      <c r="D50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D34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16"/>
      <c r="B3" s="5" t="s">
        <v>200</v>
      </c>
    </row>
    <row r="4" customFormat="false" ht="12.75" hidden="false" customHeight="false" outlineLevel="0" collapsed="false">
      <c r="A4" s="136"/>
      <c r="B4" s="98" t="n">
        <v>78113</v>
      </c>
      <c r="D4" s="98"/>
    </row>
    <row r="5" customFormat="false" ht="12.75" hidden="false" customHeight="false" outlineLevel="0" collapsed="false">
      <c r="A5" s="75" t="s">
        <v>113</v>
      </c>
      <c r="B5" s="101" t="s">
        <v>114</v>
      </c>
      <c r="C5" s="101" t="s">
        <v>115</v>
      </c>
    </row>
    <row r="6" customFormat="false" ht="12.75" hidden="false" customHeight="false" outlineLevel="0" collapsed="false">
      <c r="A6" s="107" t="n">
        <v>1</v>
      </c>
      <c r="B6" s="108" t="n">
        <v>-77614</v>
      </c>
      <c r="C6" s="108" t="n">
        <v>-65229</v>
      </c>
      <c r="D6" s="120" t="n">
        <f aca="false">+C6-B6</f>
        <v>12385</v>
      </c>
    </row>
    <row r="7" customFormat="false" ht="12.75" hidden="false" customHeight="false" outlineLevel="0" collapsed="false">
      <c r="A7" s="107" t="n">
        <v>2</v>
      </c>
      <c r="B7" s="108" t="n">
        <v>-71168</v>
      </c>
      <c r="C7" s="108" t="n">
        <v>-80300</v>
      </c>
      <c r="D7" s="120" t="n">
        <f aca="false">+C7-B7</f>
        <v>-9132</v>
      </c>
    </row>
    <row r="8" customFormat="false" ht="12.75" hidden="false" customHeight="false" outlineLevel="0" collapsed="false">
      <c r="A8" s="107" t="n">
        <v>3</v>
      </c>
      <c r="B8" s="108" t="n">
        <v>-41277</v>
      </c>
      <c r="C8" s="108" t="n">
        <v>-50000</v>
      </c>
      <c r="D8" s="120" t="n">
        <f aca="false">+C8-B8</f>
        <v>-8723</v>
      </c>
    </row>
    <row r="9" customFormat="false" ht="12.75" hidden="false" customHeight="false" outlineLevel="0" collapsed="false">
      <c r="A9" s="107" t="n">
        <v>4</v>
      </c>
      <c r="B9" s="108" t="n">
        <v>-41015</v>
      </c>
      <c r="C9" s="108" t="n">
        <v>-50000</v>
      </c>
      <c r="D9" s="120" t="n">
        <f aca="false">+C9-B9</f>
        <v>-8985</v>
      </c>
    </row>
    <row r="10" customFormat="false" ht="12.75" hidden="false" customHeight="false" outlineLevel="0" collapsed="false">
      <c r="A10" s="107" t="n">
        <v>5</v>
      </c>
      <c r="B10" s="108" t="n">
        <v>-41598</v>
      </c>
      <c r="C10" s="108" t="n">
        <v>-50000</v>
      </c>
      <c r="D10" s="120" t="n">
        <f aca="false">+C10-B10</f>
        <v>-8402</v>
      </c>
    </row>
    <row r="11" customFormat="false" ht="12.75" hidden="false" customHeight="false" outlineLevel="0" collapsed="false">
      <c r="A11" s="107" t="n">
        <v>6</v>
      </c>
      <c r="B11" s="108" t="n">
        <v>-67163</v>
      </c>
      <c r="C11" s="108" t="n">
        <v>-50000</v>
      </c>
      <c r="D11" s="120" t="n">
        <f aca="false">+C11-B11</f>
        <v>17163</v>
      </c>
    </row>
    <row r="12" customFormat="false" ht="12.75" hidden="false" customHeight="false" outlineLevel="0" collapsed="false">
      <c r="A12" s="107" t="n">
        <v>7</v>
      </c>
      <c r="B12" s="108" t="n">
        <v>-78830</v>
      </c>
      <c r="C12" s="108" t="n">
        <v>-80300</v>
      </c>
      <c r="D12" s="120" t="n">
        <f aca="false">+C12-B12</f>
        <v>-1470</v>
      </c>
    </row>
    <row r="13" customFormat="false" ht="12.75" hidden="false" customHeight="false" outlineLevel="0" collapsed="false">
      <c r="A13" s="107" t="n">
        <v>8</v>
      </c>
      <c r="B13" s="108" t="n">
        <v>-82222</v>
      </c>
      <c r="C13" s="108" t="n">
        <v>-80300</v>
      </c>
      <c r="D13" s="120" t="n">
        <f aca="false">+C13-B13</f>
        <v>1922</v>
      </c>
    </row>
    <row r="14" customFormat="false" ht="12.75" hidden="false" customHeight="false" outlineLevel="0" collapsed="false">
      <c r="A14" s="107" t="n">
        <v>9</v>
      </c>
      <c r="B14" s="108" t="n">
        <v>-81974</v>
      </c>
      <c r="C14" s="108" t="n">
        <v>-80168</v>
      </c>
      <c r="D14" s="120" t="n">
        <f aca="false">+C14-B14</f>
        <v>1806</v>
      </c>
    </row>
    <row r="15" customFormat="false" ht="12.75" hidden="false" customHeight="false" outlineLevel="0" collapsed="false">
      <c r="A15" s="107" t="n">
        <v>10</v>
      </c>
      <c r="B15" s="108" t="n">
        <v>-77458</v>
      </c>
      <c r="C15" s="108" t="n">
        <v>-79752</v>
      </c>
      <c r="D15" s="120" t="n">
        <f aca="false">+C15-B15</f>
        <v>-2294</v>
      </c>
    </row>
    <row r="16" customFormat="false" ht="12.75" hidden="false" customHeight="false" outlineLevel="0" collapsed="false">
      <c r="A16" s="107" t="n">
        <v>11</v>
      </c>
      <c r="B16" s="108" t="n">
        <v>-77550</v>
      </c>
      <c r="C16" s="108" t="n">
        <v>-79499</v>
      </c>
      <c r="D16" s="120" t="n">
        <f aca="false">+C16-B16</f>
        <v>-1949</v>
      </c>
    </row>
    <row r="17" customFormat="false" ht="12.75" hidden="false" customHeight="false" outlineLevel="0" collapsed="false">
      <c r="A17" s="107" t="n">
        <v>12</v>
      </c>
      <c r="B17" s="108" t="n">
        <v>-79020</v>
      </c>
      <c r="C17" s="108" t="n">
        <v>-79795</v>
      </c>
      <c r="D17" s="120" t="n">
        <f aca="false">+C17-B17</f>
        <v>-775</v>
      </c>
    </row>
    <row r="18" customFormat="false" ht="12.75" hidden="false" customHeight="false" outlineLevel="0" collapsed="false">
      <c r="A18" s="107" t="n">
        <v>13</v>
      </c>
      <c r="B18" s="108" t="n">
        <v>-81735</v>
      </c>
      <c r="C18" s="108" t="n">
        <v>-80070</v>
      </c>
      <c r="D18" s="120" t="n">
        <f aca="false">+C18-B18</f>
        <v>1665</v>
      </c>
    </row>
    <row r="19" customFormat="false" ht="12.75" hidden="false" customHeight="false" outlineLevel="0" collapsed="false">
      <c r="A19" s="107" t="n">
        <v>14</v>
      </c>
      <c r="B19" s="108" t="n">
        <v>-83487</v>
      </c>
      <c r="C19" s="108" t="n">
        <v>-80300</v>
      </c>
      <c r="D19" s="120" t="n">
        <f aca="false">+C19-B19</f>
        <v>3187</v>
      </c>
    </row>
    <row r="20" customFormat="false" ht="12.75" hidden="false" customHeight="false" outlineLevel="0" collapsed="false">
      <c r="A20" s="107" t="n">
        <v>15</v>
      </c>
      <c r="B20" s="108" t="n">
        <v>-61528</v>
      </c>
      <c r="C20" s="108" t="n">
        <v>-59563</v>
      </c>
      <c r="D20" s="120" t="n">
        <f aca="false">+C20-B20</f>
        <v>1965</v>
      </c>
    </row>
    <row r="21" customFormat="false" ht="12.75" hidden="false" customHeight="false" outlineLevel="0" collapsed="false">
      <c r="A21" s="107" t="n">
        <v>16</v>
      </c>
      <c r="B21" s="108" t="n">
        <v>-41521</v>
      </c>
      <c r="C21" s="108" t="n">
        <v>-50000</v>
      </c>
      <c r="D21" s="120" t="n">
        <f aca="false">+C21-B21</f>
        <v>-8479</v>
      </c>
    </row>
    <row r="22" customFormat="false" ht="12.75" hidden="false" customHeight="false" outlineLevel="0" collapsed="false">
      <c r="A22" s="107" t="n">
        <v>17</v>
      </c>
      <c r="B22" s="108" t="n">
        <v>-42402</v>
      </c>
      <c r="C22" s="108" t="n">
        <v>-50000</v>
      </c>
      <c r="D22" s="120" t="n">
        <f aca="false">+C22-B22</f>
        <v>-7598</v>
      </c>
    </row>
    <row r="23" customFormat="false" ht="12.75" hidden="false" customHeight="false" outlineLevel="0" collapsed="false">
      <c r="A23" s="107" t="n">
        <v>18</v>
      </c>
      <c r="B23" s="108" t="n">
        <v>-52322</v>
      </c>
      <c r="C23" s="108" t="n">
        <v>-50000</v>
      </c>
      <c r="D23" s="120" t="n">
        <f aca="false">+C23-B23</f>
        <v>2322</v>
      </c>
    </row>
    <row r="24" customFormat="false" ht="12.75" hidden="false" customHeight="false" outlineLevel="0" collapsed="false">
      <c r="A24" s="107" t="n">
        <v>19</v>
      </c>
      <c r="B24" s="108" t="n">
        <v>-79654</v>
      </c>
      <c r="C24" s="108" t="n">
        <v>-48847</v>
      </c>
      <c r="D24" s="120" t="n">
        <f aca="false">+C24-B24</f>
        <v>30807</v>
      </c>
    </row>
    <row r="25" customFormat="false" ht="12.75" hidden="false" customHeight="false" outlineLevel="0" collapsed="false">
      <c r="A25" s="107" t="n">
        <v>20</v>
      </c>
      <c r="B25" s="108" t="n">
        <v>-81639</v>
      </c>
      <c r="C25" s="108" t="n">
        <v>-60462</v>
      </c>
      <c r="D25" s="120" t="n">
        <f aca="false">+C25-B25</f>
        <v>21177</v>
      </c>
    </row>
    <row r="26" customFormat="false" ht="12.75" hidden="false" customHeight="false" outlineLevel="0" collapsed="false">
      <c r="A26" s="107" t="n">
        <v>21</v>
      </c>
      <c r="B26" s="108" t="n">
        <v>-82328</v>
      </c>
      <c r="C26" s="108" t="n">
        <v>-89045</v>
      </c>
      <c r="D26" s="120" t="n">
        <f aca="false">+C26-B26</f>
        <v>-6717</v>
      </c>
    </row>
    <row r="27" customFormat="false" ht="12.75" hidden="false" customHeight="false" outlineLevel="0" collapsed="false">
      <c r="A27" s="107" t="n">
        <v>22</v>
      </c>
      <c r="B27" s="108" t="n">
        <v>-70813</v>
      </c>
      <c r="C27" s="108" t="n">
        <v>-65162</v>
      </c>
      <c r="D27" s="120" t="n">
        <f aca="false">+C27-B27</f>
        <v>5651</v>
      </c>
    </row>
    <row r="28" customFormat="false" ht="12.75" hidden="false" customHeight="false" outlineLevel="0" collapsed="false">
      <c r="A28" s="107" t="n">
        <v>23</v>
      </c>
      <c r="B28" s="108" t="n">
        <v>-69354</v>
      </c>
      <c r="C28" s="108" t="n">
        <v>-83170</v>
      </c>
      <c r="D28" s="120" t="n">
        <f aca="false">+C28-B28</f>
        <v>-13816</v>
      </c>
    </row>
    <row r="29" customFormat="false" ht="12.75" hidden="false" customHeight="false" outlineLevel="0" collapsed="false">
      <c r="A29" s="107" t="n">
        <v>24</v>
      </c>
      <c r="B29" s="108" t="n">
        <v>-40965</v>
      </c>
      <c r="C29" s="108" t="n">
        <v>-43257</v>
      </c>
      <c r="D29" s="120" t="n">
        <f aca="false">+C29-B29</f>
        <v>-2292</v>
      </c>
    </row>
    <row r="30" customFormat="false" ht="12.75" hidden="false" customHeight="false" outlineLevel="0" collapsed="false">
      <c r="A30" s="107" t="n">
        <v>25</v>
      </c>
      <c r="B30" s="108" t="n">
        <v>-40926</v>
      </c>
      <c r="C30" s="108" t="n">
        <v>-38167</v>
      </c>
      <c r="D30" s="120" t="n">
        <f aca="false">+C30-B30</f>
        <v>2759</v>
      </c>
    </row>
    <row r="31" customFormat="false" ht="12.75" hidden="false" customHeight="false" outlineLevel="0" collapsed="false">
      <c r="A31" s="107" t="n">
        <v>26</v>
      </c>
      <c r="B31" s="108" t="n">
        <v>-41028</v>
      </c>
      <c r="C31" s="108" t="n">
        <v>-36581</v>
      </c>
      <c r="D31" s="120" t="n">
        <f aca="false">+C31-B31</f>
        <v>4447</v>
      </c>
    </row>
    <row r="32" customFormat="false" ht="12.75" hidden="false" customHeight="false" outlineLevel="0" collapsed="false">
      <c r="A32" s="107" t="n">
        <v>27</v>
      </c>
      <c r="B32" s="108" t="n">
        <v>-41039</v>
      </c>
      <c r="C32" s="108" t="n">
        <v>-49678</v>
      </c>
      <c r="D32" s="120" t="n">
        <f aca="false">+C32-B32</f>
        <v>-8639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-1727630</v>
      </c>
      <c r="C37" s="108" t="n">
        <f aca="false">SUM(C6:C36)</f>
        <v>-1709645</v>
      </c>
      <c r="D37" s="120" t="n">
        <f aca="false">SUM(D6:D36)</f>
        <v>17985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2.81</v>
      </c>
    </row>
    <row r="39" customFormat="false" ht="12.75" hidden="false" customHeight="false" outlineLevel="0" collapsed="false">
      <c r="D39" s="132" t="n">
        <f aca="false">+D38*D37</f>
        <v>50537.85</v>
      </c>
    </row>
    <row r="40" customFormat="false" ht="12.75" hidden="false" customHeight="false" outlineLevel="0" collapsed="false">
      <c r="A40" s="152" t="n">
        <v>37103</v>
      </c>
      <c r="C40" s="79"/>
      <c r="D40" s="409" t="n">
        <v>21736.76</v>
      </c>
    </row>
    <row r="41" customFormat="false" ht="12.75" hidden="false" customHeight="false" outlineLevel="0" collapsed="false">
      <c r="A41" s="152" t="n">
        <v>37130</v>
      </c>
      <c r="C41" s="151"/>
      <c r="D41" s="132" t="n">
        <f aca="false">+D40+D39</f>
        <v>72274.61</v>
      </c>
    </row>
    <row r="44" customFormat="false" ht="12.75" hidden="false" customHeight="false" outlineLevel="0" collapsed="false">
      <c r="A44" s="9" t="s">
        <v>125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301" t="n">
        <f aca="false">117315-4335-4130</f>
        <v>108850</v>
      </c>
    </row>
    <row r="46" customFormat="false" ht="12.75" hidden="false" customHeight="false" outlineLevel="0" collapsed="false">
      <c r="A46" s="124" t="n">
        <f aca="false">+A41</f>
        <v>37130</v>
      </c>
      <c r="B46" s="9"/>
      <c r="C46" s="9"/>
      <c r="D46" s="37" t="n">
        <f aca="false">+D37</f>
        <v>17985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126835</v>
      </c>
    </row>
    <row r="48" customFormat="false" ht="12.75" hidden="false" customHeight="false" outlineLevel="0" collapsed="false">
      <c r="A48" s="127"/>
      <c r="B48" s="128"/>
      <c r="C48" s="129"/>
      <c r="D48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3" sqref="A1 A1 D41 A19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201</v>
      </c>
    </row>
    <row r="4" customFormat="false" ht="12.75" hidden="false" customHeight="false" outlineLevel="0" collapsed="false">
      <c r="A4" s="136"/>
      <c r="B4" s="98" t="n">
        <v>78093</v>
      </c>
      <c r="D4" s="98"/>
    </row>
    <row r="5" customFormat="false" ht="12.75" hidden="false" customHeight="false" outlineLevel="0" collapsed="false">
      <c r="A5" s="75" t="s">
        <v>113</v>
      </c>
      <c r="B5" s="101" t="s">
        <v>114</v>
      </c>
      <c r="C5" s="101" t="s">
        <v>115</v>
      </c>
    </row>
    <row r="6" customFormat="false" ht="12.75" hidden="false" customHeight="false" outlineLevel="0" collapsed="false">
      <c r="A6" s="107" t="n">
        <v>1</v>
      </c>
      <c r="B6" s="108" t="n">
        <v>32539</v>
      </c>
      <c r="C6" s="108" t="n">
        <v>31400</v>
      </c>
      <c r="D6" s="120" t="n">
        <f aca="false">+C6-B6</f>
        <v>-1139</v>
      </c>
    </row>
    <row r="7" customFormat="false" ht="12.75" hidden="false" customHeight="false" outlineLevel="0" collapsed="false">
      <c r="A7" s="107" t="n">
        <v>2</v>
      </c>
      <c r="B7" s="108" t="n">
        <v>32516</v>
      </c>
      <c r="C7" s="108" t="n">
        <v>31400</v>
      </c>
      <c r="D7" s="120" t="n">
        <f aca="false">+C7-B7</f>
        <v>-1116</v>
      </c>
    </row>
    <row r="8" customFormat="false" ht="12.75" hidden="false" customHeight="false" outlineLevel="0" collapsed="false">
      <c r="A8" s="107" t="n">
        <v>3</v>
      </c>
      <c r="B8" s="108" t="n">
        <v>39547</v>
      </c>
      <c r="C8" s="108" t="n">
        <v>36521</v>
      </c>
      <c r="D8" s="120" t="n">
        <f aca="false">+C8-B8</f>
        <v>-3026</v>
      </c>
    </row>
    <row r="9" customFormat="false" ht="12.75" hidden="false" customHeight="false" outlineLevel="0" collapsed="false">
      <c r="A9" s="107" t="n">
        <v>4</v>
      </c>
      <c r="B9" s="108" t="n">
        <v>37821</v>
      </c>
      <c r="C9" s="108" t="n">
        <v>33628</v>
      </c>
      <c r="D9" s="120" t="n">
        <f aca="false">+C9-B9</f>
        <v>-4193</v>
      </c>
    </row>
    <row r="10" customFormat="false" ht="12.75" hidden="false" customHeight="false" outlineLevel="0" collapsed="false">
      <c r="A10" s="107" t="n">
        <v>5</v>
      </c>
      <c r="B10" s="108" t="n">
        <v>35429</v>
      </c>
      <c r="C10" s="108" t="n">
        <v>38484</v>
      </c>
      <c r="D10" s="120" t="n">
        <f aca="false">+C10-B10</f>
        <v>3055</v>
      </c>
    </row>
    <row r="11" customFormat="false" ht="12.75" hidden="false" customHeight="false" outlineLevel="0" collapsed="false">
      <c r="A11" s="107" t="n">
        <v>6</v>
      </c>
      <c r="B11" s="108" t="n">
        <v>39523</v>
      </c>
      <c r="C11" s="108" t="n">
        <v>38484</v>
      </c>
      <c r="D11" s="120" t="n">
        <f aca="false">+C11-B11</f>
        <v>-1039</v>
      </c>
    </row>
    <row r="12" customFormat="false" ht="12.75" hidden="false" customHeight="false" outlineLevel="0" collapsed="false">
      <c r="A12" s="107" t="n">
        <v>7</v>
      </c>
      <c r="B12" s="108" t="n">
        <v>40822</v>
      </c>
      <c r="C12" s="108" t="n">
        <v>38500</v>
      </c>
      <c r="D12" s="120" t="n">
        <f aca="false">+C12-B12</f>
        <v>-2322</v>
      </c>
    </row>
    <row r="13" customFormat="false" ht="12.75" hidden="false" customHeight="false" outlineLevel="0" collapsed="false">
      <c r="A13" s="107" t="n">
        <v>8</v>
      </c>
      <c r="B13" s="108" t="n">
        <v>41242</v>
      </c>
      <c r="C13" s="108" t="n">
        <v>38499</v>
      </c>
      <c r="D13" s="120" t="n">
        <f aca="false">+C13-B13</f>
        <v>-2743</v>
      </c>
    </row>
    <row r="14" customFormat="false" ht="12.75" hidden="false" customHeight="false" outlineLevel="0" collapsed="false">
      <c r="A14" s="107" t="n">
        <v>9</v>
      </c>
      <c r="B14" s="108" t="n">
        <v>39629</v>
      </c>
      <c r="C14" s="108" t="n">
        <v>37100</v>
      </c>
      <c r="D14" s="120" t="n">
        <f aca="false">+C14-B14</f>
        <v>-2529</v>
      </c>
    </row>
    <row r="15" customFormat="false" ht="12.75" hidden="false" customHeight="false" outlineLevel="0" collapsed="false">
      <c r="A15" s="107" t="n">
        <v>10</v>
      </c>
      <c r="B15" s="108" t="n">
        <v>39802</v>
      </c>
      <c r="C15" s="108" t="n">
        <v>37879</v>
      </c>
      <c r="D15" s="120" t="n">
        <f aca="false">+C15-B15</f>
        <v>-1923</v>
      </c>
    </row>
    <row r="16" customFormat="false" ht="12.75" hidden="false" customHeight="false" outlineLevel="0" collapsed="false">
      <c r="A16" s="107" t="n">
        <v>11</v>
      </c>
      <c r="B16" s="108" t="n">
        <v>39852</v>
      </c>
      <c r="C16" s="108" t="n">
        <v>38499</v>
      </c>
      <c r="D16" s="120" t="n">
        <f aca="false">+C16-B16</f>
        <v>-1353</v>
      </c>
    </row>
    <row r="17" customFormat="false" ht="12.75" hidden="false" customHeight="false" outlineLevel="0" collapsed="false">
      <c r="A17" s="107" t="n">
        <v>12</v>
      </c>
      <c r="B17" s="108" t="n">
        <v>18864</v>
      </c>
      <c r="C17" s="108" t="n">
        <v>24382</v>
      </c>
      <c r="D17" s="120" t="n">
        <f aca="false">+C17-B17</f>
        <v>5518</v>
      </c>
    </row>
    <row r="18" customFormat="false" ht="12.75" hidden="false" customHeight="false" outlineLevel="0" collapsed="false">
      <c r="A18" s="107" t="n">
        <v>13</v>
      </c>
      <c r="B18" s="108" t="n">
        <v>34489</v>
      </c>
      <c r="C18" s="108" t="n">
        <v>35457</v>
      </c>
      <c r="D18" s="120" t="n">
        <f aca="false">+C18-B18</f>
        <v>968</v>
      </c>
    </row>
    <row r="19" customFormat="false" ht="12.75" hidden="false" customHeight="false" outlineLevel="0" collapsed="false">
      <c r="A19" s="107" t="n">
        <v>14</v>
      </c>
      <c r="B19" s="108" t="n">
        <v>40193</v>
      </c>
      <c r="C19" s="108" t="n">
        <v>39600</v>
      </c>
      <c r="D19" s="120" t="n">
        <f aca="false">+C19-B19</f>
        <v>-593</v>
      </c>
    </row>
    <row r="20" customFormat="false" ht="12.75" hidden="false" customHeight="false" outlineLevel="0" collapsed="false">
      <c r="A20" s="107" t="n">
        <v>15</v>
      </c>
      <c r="B20" s="108" t="n">
        <v>40662</v>
      </c>
      <c r="C20" s="108" t="n">
        <v>38879</v>
      </c>
      <c r="D20" s="120" t="n">
        <f aca="false">+C20-B20</f>
        <v>-1783</v>
      </c>
    </row>
    <row r="21" customFormat="false" ht="12.75" hidden="false" customHeight="false" outlineLevel="0" collapsed="false">
      <c r="A21" s="107" t="n">
        <v>16</v>
      </c>
      <c r="B21" s="108" t="n">
        <v>38470</v>
      </c>
      <c r="C21" s="108" t="n">
        <v>39600</v>
      </c>
      <c r="D21" s="120" t="n">
        <f aca="false">+C21-B21</f>
        <v>1130</v>
      </c>
    </row>
    <row r="22" customFormat="false" ht="12.75" hidden="false" customHeight="false" outlineLevel="0" collapsed="false">
      <c r="A22" s="107" t="n">
        <v>17</v>
      </c>
      <c r="B22" s="108" t="n">
        <v>40314</v>
      </c>
      <c r="C22" s="108" t="n">
        <v>39600</v>
      </c>
      <c r="D22" s="120" t="n">
        <f aca="false">+C22-B22</f>
        <v>-714</v>
      </c>
    </row>
    <row r="23" customFormat="false" ht="12.75" hidden="false" customHeight="false" outlineLevel="0" collapsed="false">
      <c r="A23" s="107" t="n">
        <v>18</v>
      </c>
      <c r="B23" s="108" t="n">
        <v>40863</v>
      </c>
      <c r="C23" s="108" t="n">
        <v>39600</v>
      </c>
      <c r="D23" s="120" t="n">
        <f aca="false">+C23-B23</f>
        <v>-1263</v>
      </c>
    </row>
    <row r="24" customFormat="false" ht="12.75" hidden="false" customHeight="false" outlineLevel="0" collapsed="false">
      <c r="A24" s="107" t="n">
        <v>19</v>
      </c>
      <c r="B24" s="108" t="n">
        <v>39065</v>
      </c>
      <c r="C24" s="108" t="n">
        <v>39600</v>
      </c>
      <c r="D24" s="120" t="n">
        <f aca="false">+C24-B24</f>
        <v>535</v>
      </c>
    </row>
    <row r="25" customFormat="false" ht="12.75" hidden="false" customHeight="false" outlineLevel="0" collapsed="false">
      <c r="A25" s="107" t="n">
        <v>20</v>
      </c>
      <c r="B25" s="108" t="n">
        <v>40407</v>
      </c>
      <c r="C25" s="108" t="n">
        <v>39600</v>
      </c>
      <c r="D25" s="120" t="n">
        <f aca="false">+C25-B25</f>
        <v>-807</v>
      </c>
    </row>
    <row r="26" customFormat="false" ht="12.75" hidden="false" customHeight="false" outlineLevel="0" collapsed="false">
      <c r="A26" s="107" t="n">
        <v>21</v>
      </c>
      <c r="B26" s="108" t="n">
        <v>42088</v>
      </c>
      <c r="C26" s="108" t="n">
        <v>36760</v>
      </c>
      <c r="D26" s="120" t="n">
        <f aca="false">+C26-B26</f>
        <v>-5328</v>
      </c>
    </row>
    <row r="27" customFormat="false" ht="12.75" hidden="false" customHeight="false" outlineLevel="0" collapsed="false">
      <c r="A27" s="107" t="n">
        <v>22</v>
      </c>
      <c r="B27" s="108" t="n">
        <v>41031</v>
      </c>
      <c r="C27" s="108" t="n">
        <v>35000</v>
      </c>
      <c r="D27" s="120" t="n">
        <f aca="false">+C27-B27</f>
        <v>-6031</v>
      </c>
    </row>
    <row r="28" customFormat="false" ht="12.75" hidden="false" customHeight="false" outlineLevel="0" collapsed="false">
      <c r="A28" s="107" t="n">
        <v>23</v>
      </c>
      <c r="B28" s="108" t="n">
        <v>40034</v>
      </c>
      <c r="C28" s="108" t="n">
        <v>35000</v>
      </c>
      <c r="D28" s="120" t="n">
        <f aca="false">+C28-B28</f>
        <v>-5034</v>
      </c>
    </row>
    <row r="29" customFormat="false" ht="12.75" hidden="false" customHeight="false" outlineLevel="0" collapsed="false">
      <c r="A29" s="107" t="n">
        <v>24</v>
      </c>
      <c r="B29" s="108" t="n">
        <v>41568</v>
      </c>
      <c r="C29" s="108" t="n">
        <v>35000</v>
      </c>
      <c r="D29" s="120" t="n">
        <f aca="false">+C29-B29</f>
        <v>-6568</v>
      </c>
    </row>
    <row r="30" customFormat="false" ht="12.75" hidden="false" customHeight="false" outlineLevel="0" collapsed="false">
      <c r="A30" s="107" t="n">
        <v>25</v>
      </c>
      <c r="B30" s="108" t="n">
        <v>31257</v>
      </c>
      <c r="C30" s="108" t="n">
        <v>37000</v>
      </c>
      <c r="D30" s="120" t="n">
        <f aca="false">+C30-B30</f>
        <v>5743</v>
      </c>
    </row>
    <row r="31" customFormat="false" ht="12.75" hidden="false" customHeight="false" outlineLevel="0" collapsed="false">
      <c r="A31" s="107" t="n">
        <v>26</v>
      </c>
      <c r="B31" s="108" t="n">
        <v>38281</v>
      </c>
      <c r="C31" s="108" t="n">
        <v>37000</v>
      </c>
      <c r="D31" s="120" t="n">
        <f aca="false">+C31-B31</f>
        <v>-1281</v>
      </c>
    </row>
    <row r="32" customFormat="false" ht="12.75" hidden="false" customHeight="false" outlineLevel="0" collapsed="false">
      <c r="A32" s="107" t="n">
        <v>27</v>
      </c>
      <c r="B32" s="108" t="n">
        <v>33326</v>
      </c>
      <c r="C32" s="108" t="n">
        <v>37000</v>
      </c>
      <c r="D32" s="120" t="n">
        <f aca="false">+C32-B32</f>
        <v>3674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1019634</v>
      </c>
      <c r="C37" s="108" t="n">
        <f aca="false">SUM(C6:C36)</f>
        <v>989472</v>
      </c>
      <c r="D37" s="120" t="n">
        <f aca="false">SUM(D6:D36)</f>
        <v>-30162</v>
      </c>
    </row>
    <row r="38" customFormat="false" ht="12.75" hidden="false" customHeight="false" outlineLevel="0" collapsed="false">
      <c r="A38" s="134"/>
      <c r="C38" s="30"/>
      <c r="D38" s="408" t="n">
        <f aca="false">+summary!H5</f>
        <v>2.9</v>
      </c>
    </row>
    <row r="39" customFormat="false" ht="12.75" hidden="false" customHeight="false" outlineLevel="0" collapsed="false">
      <c r="D39" s="132" t="n">
        <f aca="false">+D38*D37</f>
        <v>-87469.8</v>
      </c>
    </row>
    <row r="40" customFormat="false" ht="12.75" hidden="false" customHeight="false" outlineLevel="0" collapsed="false">
      <c r="A40" s="152" t="n">
        <v>37103</v>
      </c>
      <c r="C40" s="79"/>
      <c r="D40" s="183" t="n">
        <v>-38120.6</v>
      </c>
    </row>
    <row r="41" customFormat="false" ht="12.75" hidden="false" customHeight="false" outlineLevel="0" collapsed="false">
      <c r="A41" s="152" t="n">
        <v>37130</v>
      </c>
      <c r="C41" s="151"/>
      <c r="D41" s="132" t="n">
        <f aca="false">+D40+D39</f>
        <v>-125590.4</v>
      </c>
    </row>
    <row r="44" customFormat="false" ht="12.75" hidden="false" customHeight="false" outlineLevel="0" collapsed="false">
      <c r="A44" s="9" t="s">
        <v>125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301" t="n">
        <v>-2104</v>
      </c>
    </row>
    <row r="46" customFormat="false" ht="12.75" hidden="false" customHeight="false" outlineLevel="0" collapsed="false">
      <c r="A46" s="124" t="n">
        <f aca="false">+A41</f>
        <v>37130</v>
      </c>
      <c r="B46" s="9"/>
      <c r="C46" s="9"/>
      <c r="D46" s="37" t="n">
        <f aca="false">+D37</f>
        <v>-30162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-32266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F30" activeCellId="3" sqref="F4 G11 J38 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0" width="10.71"/>
    <col collapsed="false" customWidth="true" hidden="false" outlineLevel="0" max="17" min="17" style="97" width="7.99"/>
    <col collapsed="false" customWidth="true" hidden="false" outlineLevel="0" max="18" min="18" style="40" width="11.42"/>
  </cols>
  <sheetData>
    <row r="1" customFormat="false" ht="12.75" hidden="false" customHeight="false" outlineLevel="0" collapsed="false">
      <c r="B1" s="98" t="s">
        <v>109</v>
      </c>
      <c r="D1" s="98" t="s">
        <v>110</v>
      </c>
      <c r="F1" s="98" t="s">
        <v>111</v>
      </c>
      <c r="H1" s="98" t="s">
        <v>112</v>
      </c>
    </row>
    <row r="2" customFormat="false" ht="12.75" hidden="false" customHeight="false" outlineLevel="0" collapsed="false">
      <c r="B2" s="99"/>
      <c r="C2" s="100"/>
      <c r="D2" s="100"/>
      <c r="E2" s="100"/>
      <c r="F2" s="100"/>
      <c r="G2" s="100"/>
      <c r="H2" s="100"/>
      <c r="I2" s="100"/>
      <c r="J2" s="100"/>
      <c r="M2" s="9"/>
      <c r="N2" s="9"/>
      <c r="O2" s="9"/>
      <c r="P2" s="79"/>
      <c r="Q2" s="92"/>
      <c r="R2" s="79"/>
      <c r="S2" s="9"/>
      <c r="T2" s="9"/>
    </row>
    <row r="3" customFormat="false" ht="12.75" hidden="false" customHeight="false" outlineLevel="0" collapsed="false">
      <c r="A3" s="75" t="s">
        <v>113</v>
      </c>
      <c r="B3" s="101" t="s">
        <v>114</v>
      </c>
      <c r="C3" s="101" t="s">
        <v>115</v>
      </c>
      <c r="D3" s="101" t="s">
        <v>114</v>
      </c>
      <c r="E3" s="101" t="s">
        <v>115</v>
      </c>
      <c r="F3" s="101" t="s">
        <v>114</v>
      </c>
      <c r="G3" s="101" t="s">
        <v>115</v>
      </c>
      <c r="H3" s="101" t="s">
        <v>114</v>
      </c>
      <c r="I3" s="101" t="s">
        <v>115</v>
      </c>
      <c r="J3" s="101"/>
      <c r="M3" s="102"/>
      <c r="N3" s="19"/>
      <c r="O3" s="19"/>
      <c r="P3" s="103"/>
      <c r="Q3" s="104" t="s">
        <v>32</v>
      </c>
      <c r="R3" s="103"/>
      <c r="S3" s="9"/>
      <c r="T3" s="18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320046</v>
      </c>
      <c r="C4" s="108" t="n">
        <v>326630</v>
      </c>
      <c r="D4" s="108" t="n">
        <v>68213</v>
      </c>
      <c r="E4" s="108" t="n">
        <v>62006</v>
      </c>
      <c r="F4" s="108" t="n">
        <v>60282</v>
      </c>
      <c r="G4" s="108" t="n">
        <v>67308</v>
      </c>
      <c r="H4" s="108" t="n">
        <v>134575</v>
      </c>
      <c r="I4" s="108" t="n">
        <v>120400</v>
      </c>
      <c r="J4" s="108" t="n">
        <f aca="false">+C4+E4+G4+I4-H4-F4-D4-B4</f>
        <v>-6772</v>
      </c>
      <c r="M4" s="102" t="s">
        <v>116</v>
      </c>
      <c r="N4" s="100" t="s">
        <v>114</v>
      </c>
      <c r="O4" s="100" t="s">
        <v>115</v>
      </c>
      <c r="P4" s="109" t="s">
        <v>117</v>
      </c>
      <c r="Q4" s="104" t="s">
        <v>118</v>
      </c>
      <c r="R4" s="103" t="s">
        <v>119</v>
      </c>
      <c r="S4" s="18"/>
      <c r="T4" s="18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322443</v>
      </c>
      <c r="C5" s="108" t="n">
        <v>342258</v>
      </c>
      <c r="D5" s="108" t="n">
        <v>80613</v>
      </c>
      <c r="E5" s="108" t="n">
        <v>62006</v>
      </c>
      <c r="F5" s="108" t="n">
        <v>65523</v>
      </c>
      <c r="G5" s="108" t="n">
        <v>61458</v>
      </c>
      <c r="H5" s="108" t="n">
        <v>114858</v>
      </c>
      <c r="I5" s="108" t="n">
        <v>123670</v>
      </c>
      <c r="J5" s="108" t="n">
        <f aca="false">+C5+E5+G5+I5-H5-F5-D5-B5</f>
        <v>5955</v>
      </c>
      <c r="M5" s="102"/>
      <c r="N5" s="30"/>
      <c r="O5" s="30"/>
      <c r="P5" s="30" t="n">
        <f aca="false">+O5-N5</f>
        <v>0</v>
      </c>
      <c r="Q5" s="92"/>
      <c r="R5" s="111" t="n">
        <f aca="false">+Q5*P5</f>
        <v>0</v>
      </c>
      <c r="S5" s="9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08" t="n">
        <v>339003</v>
      </c>
      <c r="C6" s="108" t="n">
        <v>356730</v>
      </c>
      <c r="D6" s="108" t="n">
        <v>65345</v>
      </c>
      <c r="E6" s="108" t="n">
        <v>62006</v>
      </c>
      <c r="F6" s="108" t="n">
        <v>62518</v>
      </c>
      <c r="G6" s="108" t="n">
        <v>57038</v>
      </c>
      <c r="H6" s="108" t="n">
        <v>133408</v>
      </c>
      <c r="I6" s="108" t="n">
        <v>135294</v>
      </c>
      <c r="J6" s="108" t="n">
        <f aca="false">+C6+E6+G6+I6-H6-F6-D6-B6</f>
        <v>10794</v>
      </c>
      <c r="M6" s="102" t="n">
        <v>36861</v>
      </c>
      <c r="N6" s="108" t="n">
        <v>19698194</v>
      </c>
      <c r="O6" s="108" t="n">
        <v>19662410</v>
      </c>
      <c r="P6" s="30" t="n">
        <f aca="false">+O6-N6</f>
        <v>-35784</v>
      </c>
      <c r="Q6" s="92" t="n">
        <v>7.95</v>
      </c>
      <c r="R6" s="111" t="n">
        <f aca="false">+Q6*P6</f>
        <v>-284482.8</v>
      </c>
      <c r="S6" s="114"/>
      <c r="T6" s="103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08" t="n">
        <v>330189</v>
      </c>
      <c r="C7" s="108" t="n">
        <v>334992</v>
      </c>
      <c r="D7" s="108" t="n">
        <v>71515</v>
      </c>
      <c r="E7" s="108" t="n">
        <v>62006</v>
      </c>
      <c r="F7" s="108" t="n">
        <v>68003</v>
      </c>
      <c r="G7" s="108" t="n">
        <v>60854</v>
      </c>
      <c r="H7" s="108" t="n">
        <v>121528</v>
      </c>
      <c r="I7" s="108" t="n">
        <v>122443</v>
      </c>
      <c r="J7" s="108" t="n">
        <f aca="false">+C7+E7+G7+I7-H7-F7-D7-B7</f>
        <v>-10940</v>
      </c>
      <c r="M7" s="102" t="n">
        <v>36892</v>
      </c>
      <c r="N7" s="108" t="n">
        <v>18949781</v>
      </c>
      <c r="O7" s="30" t="n">
        <v>18975457</v>
      </c>
      <c r="P7" s="30" t="n">
        <f aca="false">+O7-N7</f>
        <v>25676</v>
      </c>
      <c r="Q7" s="92" t="n">
        <v>8.1</v>
      </c>
      <c r="R7" s="111" t="n">
        <f aca="false">+Q7*P7</f>
        <v>207975.6</v>
      </c>
      <c r="S7" s="116"/>
      <c r="T7" s="103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08" t="n">
        <v>325424</v>
      </c>
      <c r="C8" s="108" t="n">
        <v>357543</v>
      </c>
      <c r="D8" s="108" t="n">
        <v>76506</v>
      </c>
      <c r="E8" s="108" t="n">
        <v>45334</v>
      </c>
      <c r="F8" s="108" t="n">
        <v>60101</v>
      </c>
      <c r="G8" s="108" t="n">
        <v>61458</v>
      </c>
      <c r="H8" s="108" t="n">
        <v>122124</v>
      </c>
      <c r="I8" s="108" t="n">
        <v>116046</v>
      </c>
      <c r="J8" s="108" t="n">
        <f aca="false">+C8+E8+G8+I8-H8-F8-D8-B8</f>
        <v>-3774</v>
      </c>
      <c r="M8" s="102" t="n">
        <v>36923</v>
      </c>
      <c r="N8" s="108" t="n">
        <v>15193330</v>
      </c>
      <c r="O8" s="30" t="n">
        <v>15256233</v>
      </c>
      <c r="P8" s="30" t="n">
        <f aca="false">+O8-N8</f>
        <v>62903</v>
      </c>
      <c r="Q8" s="92" t="n">
        <v>5.61</v>
      </c>
      <c r="R8" s="111" t="n">
        <f aca="false">+Q8*P8</f>
        <v>352885.83</v>
      </c>
      <c r="S8" s="116"/>
      <c r="T8" s="103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08" t="n">
        <v>338716</v>
      </c>
      <c r="C9" s="108" t="n">
        <v>363512</v>
      </c>
      <c r="D9" s="108" t="n">
        <v>73883</v>
      </c>
      <c r="E9" s="108" t="n">
        <v>62006</v>
      </c>
      <c r="F9" s="108" t="n">
        <v>63277</v>
      </c>
      <c r="G9" s="108" t="n">
        <v>61458</v>
      </c>
      <c r="H9" s="108" t="n">
        <v>128438</v>
      </c>
      <c r="I9" s="108" t="n">
        <v>126142</v>
      </c>
      <c r="J9" s="108" t="n">
        <f aca="false">+C9+E9+G9+I9-H9-F9-D9-B9</f>
        <v>8804</v>
      </c>
      <c r="M9" s="102" t="n">
        <v>36951</v>
      </c>
      <c r="N9" s="108" t="n">
        <v>17049350</v>
      </c>
      <c r="O9" s="30" t="n">
        <v>17089226</v>
      </c>
      <c r="P9" s="30" t="n">
        <f aca="false">+O9-N9</f>
        <v>39876</v>
      </c>
      <c r="Q9" s="92" t="n">
        <v>4.87</v>
      </c>
      <c r="R9" s="111" t="n">
        <f aca="false">+Q9*P9</f>
        <v>194196.12</v>
      </c>
      <c r="S9" s="116"/>
      <c r="T9" s="103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08" t="n">
        <v>307409</v>
      </c>
      <c r="C10" s="108" t="n">
        <v>329009</v>
      </c>
      <c r="D10" s="108" t="n">
        <v>81561</v>
      </c>
      <c r="E10" s="108" t="n">
        <v>62006</v>
      </c>
      <c r="F10" s="108" t="n">
        <v>61385</v>
      </c>
      <c r="G10" s="108" t="n">
        <v>66177</v>
      </c>
      <c r="H10" s="108" t="n">
        <v>128949</v>
      </c>
      <c r="I10" s="108" t="n">
        <v>116696</v>
      </c>
      <c r="J10" s="108" t="n">
        <f aca="false">+C10+E10+G10+I10-H10-F10-D10-B10</f>
        <v>-5416</v>
      </c>
      <c r="M10" s="102" t="n">
        <v>36982</v>
      </c>
      <c r="N10" s="108" t="n">
        <v>17652369</v>
      </c>
      <c r="O10" s="30" t="n">
        <v>17743987</v>
      </c>
      <c r="P10" s="30" t="n">
        <f aca="false">+O10-N10</f>
        <v>91618</v>
      </c>
      <c r="Q10" s="92" t="n">
        <v>4.62</v>
      </c>
      <c r="R10" s="111" t="n">
        <f aca="false">+Q10*P10</f>
        <v>423275.16</v>
      </c>
      <c r="S10" s="116"/>
      <c r="T10" s="103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 t="n">
        <v>335665</v>
      </c>
      <c r="C11" s="108" t="n">
        <v>339813</v>
      </c>
      <c r="D11" s="108" t="n">
        <v>69904</v>
      </c>
      <c r="E11" s="108" t="n">
        <v>62006</v>
      </c>
      <c r="F11" s="108" t="n">
        <v>64156</v>
      </c>
      <c r="G11" s="108" t="n">
        <v>66309</v>
      </c>
      <c r="H11" s="108" t="n">
        <v>123188</v>
      </c>
      <c r="I11" s="108" t="n">
        <v>131814</v>
      </c>
      <c r="J11" s="108" t="n">
        <f aca="false">+C11+E11+G11+I11-H11-F11-D11-B11</f>
        <v>7029</v>
      </c>
      <c r="M11" s="102" t="n">
        <v>37012</v>
      </c>
      <c r="N11" s="108" t="n">
        <v>16124989</v>
      </c>
      <c r="O11" s="30" t="n">
        <v>16282021</v>
      </c>
      <c r="P11" s="30" t="n">
        <f aca="false">+O11-N11</f>
        <v>157032</v>
      </c>
      <c r="Q11" s="92" t="n">
        <v>3.44</v>
      </c>
      <c r="R11" s="111" t="n">
        <f aca="false">+Q11*P11</f>
        <v>540190.08</v>
      </c>
      <c r="S11" s="116"/>
      <c r="T11" s="103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 t="n">
        <v>339468</v>
      </c>
      <c r="C12" s="108" t="n">
        <v>343257</v>
      </c>
      <c r="D12" s="108" t="n">
        <v>62256</v>
      </c>
      <c r="E12" s="108" t="n">
        <v>62006</v>
      </c>
      <c r="F12" s="108" t="n">
        <v>68558</v>
      </c>
      <c r="G12" s="108" t="n">
        <v>62714</v>
      </c>
      <c r="H12" s="108" t="n">
        <v>133641</v>
      </c>
      <c r="I12" s="108" t="n">
        <v>126893</v>
      </c>
      <c r="J12" s="108" t="n">
        <f aca="false">+C12+E12+G12+I12-H12-F12-D12-B12</f>
        <v>-9053</v>
      </c>
      <c r="M12" s="102" t="n">
        <v>37043</v>
      </c>
      <c r="N12" s="108" t="n">
        <v>15928675</v>
      </c>
      <c r="O12" s="30" t="n">
        <v>15936227</v>
      </c>
      <c r="P12" s="30" t="n">
        <f aca="false">+O12-N12</f>
        <v>7552</v>
      </c>
      <c r="Q12" s="92" t="n">
        <v>2.45</v>
      </c>
      <c r="R12" s="111" t="n">
        <f aca="false">+Q12*P12</f>
        <v>18502.4</v>
      </c>
      <c r="S12" s="116"/>
      <c r="T12" s="103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 t="n">
        <v>325004</v>
      </c>
      <c r="C13" s="108" t="n">
        <v>326102</v>
      </c>
      <c r="D13" s="108" t="n">
        <v>61460</v>
      </c>
      <c r="E13" s="108" t="n">
        <v>62006</v>
      </c>
      <c r="F13" s="108" t="n">
        <v>56382</v>
      </c>
      <c r="G13" s="108" t="n">
        <v>53686</v>
      </c>
      <c r="H13" s="108" t="n">
        <v>141587</v>
      </c>
      <c r="I13" s="108" t="n">
        <v>135180</v>
      </c>
      <c r="J13" s="108" t="n">
        <f aca="false">+C13+E13+G13+I13-H13-F13-D13-B13</f>
        <v>-7459</v>
      </c>
      <c r="M13" s="102" t="n">
        <v>37073</v>
      </c>
      <c r="N13" s="108" t="n">
        <v>16669639</v>
      </c>
      <c r="O13" s="30" t="n">
        <v>16693576</v>
      </c>
      <c r="P13" s="30" t="n">
        <f aca="false">+O13-N13</f>
        <v>23937</v>
      </c>
      <c r="Q13" s="92" t="n">
        <v>2.45</v>
      </c>
      <c r="R13" s="111" t="n">
        <f aca="false">+Q13*P13</f>
        <v>58645.65</v>
      </c>
      <c r="S13" s="116"/>
      <c r="T13" s="103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 t="n">
        <v>348691</v>
      </c>
      <c r="C14" s="108" t="n">
        <v>329322</v>
      </c>
      <c r="D14" s="108" t="n">
        <v>39888</v>
      </c>
      <c r="E14" s="108" t="n">
        <v>62006</v>
      </c>
      <c r="F14" s="108" t="n">
        <v>62036</v>
      </c>
      <c r="G14" s="108" t="n">
        <v>61116</v>
      </c>
      <c r="H14" s="108" t="n">
        <v>154963</v>
      </c>
      <c r="I14" s="108" t="n">
        <v>154094</v>
      </c>
      <c r="J14" s="108" t="n">
        <f aca="false">+C14+E14+G14+I14-H14-F14-D14-B14</f>
        <v>960</v>
      </c>
      <c r="S14" s="116"/>
      <c r="T14" s="103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 t="n">
        <v>343074</v>
      </c>
      <c r="C15" s="108" t="n">
        <v>331485</v>
      </c>
      <c r="D15" s="108" t="n">
        <v>41056</v>
      </c>
      <c r="E15" s="108" t="n">
        <v>62006</v>
      </c>
      <c r="F15" s="108" t="n">
        <v>63625</v>
      </c>
      <c r="G15" s="108" t="n">
        <v>61306</v>
      </c>
      <c r="H15" s="108" t="n">
        <v>145898</v>
      </c>
      <c r="I15" s="108" t="n">
        <v>141767</v>
      </c>
      <c r="J15" s="108" t="n">
        <f aca="false">+C15+E15+G15+I15-H15-F15-D15-B15</f>
        <v>2911</v>
      </c>
      <c r="S15" s="116"/>
      <c r="T15" s="103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 t="n">
        <v>329776</v>
      </c>
      <c r="C16" s="108" t="n">
        <v>327012</v>
      </c>
      <c r="D16" s="108" t="n">
        <v>46642</v>
      </c>
      <c r="E16" s="108" t="n">
        <v>59179</v>
      </c>
      <c r="F16" s="108" t="n">
        <v>62952</v>
      </c>
      <c r="G16" s="108" t="n">
        <v>61308</v>
      </c>
      <c r="H16" s="108" t="n">
        <v>138478</v>
      </c>
      <c r="I16" s="108" t="n">
        <v>126232</v>
      </c>
      <c r="J16" s="108" t="n">
        <f aca="false">+C16+E16+G16+I16-H16-F16-D16-B16</f>
        <v>-4117</v>
      </c>
      <c r="S16" s="116"/>
      <c r="T16" s="103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 t="n">
        <v>326625</v>
      </c>
      <c r="C17" s="108" t="n">
        <v>336221</v>
      </c>
      <c r="D17" s="108" t="n">
        <v>37103</v>
      </c>
      <c r="E17" s="108" t="n">
        <v>26877</v>
      </c>
      <c r="F17" s="108" t="n">
        <v>56806</v>
      </c>
      <c r="G17" s="108" t="n">
        <v>58064</v>
      </c>
      <c r="H17" s="108" t="n">
        <v>133830</v>
      </c>
      <c r="I17" s="108" t="n">
        <v>131396</v>
      </c>
      <c r="J17" s="108" t="n">
        <f aca="false">+C17+E17+G17+I17-H17-F17-D17-B17</f>
        <v>-1806</v>
      </c>
      <c r="M17" s="102"/>
      <c r="N17" s="108"/>
      <c r="O17" s="30"/>
      <c r="P17" s="30" t="n">
        <f aca="false">+O17-N17</f>
        <v>0</v>
      </c>
      <c r="Q17" s="92"/>
      <c r="R17" s="111" t="n">
        <f aca="false">+Q17*P17</f>
        <v>0</v>
      </c>
      <c r="S17" s="114"/>
      <c r="T17" s="103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 t="n">
        <v>336681</v>
      </c>
      <c r="C18" s="108" t="n">
        <v>332244</v>
      </c>
      <c r="D18" s="108" t="n">
        <v>61849</v>
      </c>
      <c r="E18" s="108" t="n">
        <v>62006</v>
      </c>
      <c r="F18" s="108" t="n">
        <v>56541</v>
      </c>
      <c r="G18" s="108" t="n">
        <v>57130</v>
      </c>
      <c r="H18" s="108" t="n">
        <v>149355</v>
      </c>
      <c r="I18" s="108" t="n">
        <v>149369</v>
      </c>
      <c r="J18" s="108" t="n">
        <f aca="false">+C18+E18+G18+I18-H18-F18-D18-B18</f>
        <v>-3677</v>
      </c>
      <c r="M18" s="102"/>
      <c r="N18" s="108"/>
      <c r="O18" s="30"/>
      <c r="P18" s="30"/>
      <c r="Q18" s="92"/>
      <c r="R18" s="117"/>
      <c r="S18" s="114"/>
      <c r="T18" s="103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 t="n">
        <v>330403</v>
      </c>
      <c r="C19" s="108" t="n">
        <v>330339</v>
      </c>
      <c r="D19" s="108" t="n">
        <v>63183</v>
      </c>
      <c r="E19" s="108" t="n">
        <v>62006</v>
      </c>
      <c r="F19" s="108" t="n">
        <v>56691</v>
      </c>
      <c r="G19" s="108" t="n">
        <v>58312</v>
      </c>
      <c r="H19" s="108" t="n">
        <v>153223</v>
      </c>
      <c r="I19" s="108" t="n">
        <v>151210</v>
      </c>
      <c r="J19" s="108" t="n">
        <f aca="false">+C19+E19+G19+I19-H19-F19-D19-B19</f>
        <v>-1633</v>
      </c>
      <c r="M19" s="102"/>
      <c r="N19" s="30"/>
      <c r="O19" s="30"/>
      <c r="P19" s="30"/>
      <c r="Q19" s="92"/>
      <c r="R19" s="79"/>
      <c r="S19" s="9"/>
      <c r="T19" s="9"/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 t="n">
        <v>334818</v>
      </c>
      <c r="C20" s="108" t="n">
        <v>346212</v>
      </c>
      <c r="D20" s="108" t="n">
        <v>81572</v>
      </c>
      <c r="E20" s="108" t="n">
        <v>62006</v>
      </c>
      <c r="F20" s="108" t="n">
        <v>63376</v>
      </c>
      <c r="G20" s="108" t="n">
        <v>65126</v>
      </c>
      <c r="H20" s="108" t="n">
        <v>135420</v>
      </c>
      <c r="I20" s="108" t="n">
        <v>142145</v>
      </c>
      <c r="J20" s="108" t="n">
        <f aca="false">+C20+E20+G20+I20-H20-F20-D20-B20</f>
        <v>303</v>
      </c>
      <c r="M20" s="102"/>
      <c r="N20" s="30"/>
      <c r="O20" s="30"/>
      <c r="P20" s="79"/>
      <c r="Q20" s="92"/>
      <c r="R20" s="79"/>
      <c r="S20" s="9"/>
      <c r="T20" s="9"/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 t="n">
        <v>366455</v>
      </c>
      <c r="C21" s="108" t="n">
        <v>357416</v>
      </c>
      <c r="D21" s="108" t="n">
        <v>64878</v>
      </c>
      <c r="E21" s="108" t="n">
        <v>62006</v>
      </c>
      <c r="F21" s="108" t="n">
        <v>59007</v>
      </c>
      <c r="G21" s="108" t="n">
        <v>58705</v>
      </c>
      <c r="H21" s="108" t="n">
        <v>125144</v>
      </c>
      <c r="I21" s="108" t="n">
        <v>131878</v>
      </c>
      <c r="J21" s="108" t="n">
        <f aca="false">+C21+E21+G21+I21-H21-F21-D21-B21</f>
        <v>-5479</v>
      </c>
      <c r="M21" s="102"/>
      <c r="N21" s="108"/>
      <c r="O21" s="108"/>
      <c r="P21" s="117"/>
      <c r="Q21" s="118"/>
      <c r="R21" s="117"/>
      <c r="S21" s="116"/>
      <c r="T21" s="103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 t="n">
        <v>297258</v>
      </c>
      <c r="C22" s="108" t="n">
        <v>320201</v>
      </c>
      <c r="D22" s="108" t="n">
        <v>63849</v>
      </c>
      <c r="E22" s="108" t="n">
        <v>62006</v>
      </c>
      <c r="F22" s="108" t="n">
        <v>57721</v>
      </c>
      <c r="G22" s="108" t="n">
        <v>60383</v>
      </c>
      <c r="H22" s="108" t="n">
        <v>126422</v>
      </c>
      <c r="I22" s="108" t="n">
        <v>129766</v>
      </c>
      <c r="J22" s="108" t="n">
        <f aca="false">+C22+E22+G22+I22-H22-F22-D22-B22</f>
        <v>27106</v>
      </c>
      <c r="M22" s="9"/>
      <c r="N22" s="108"/>
      <c r="O22" s="108"/>
      <c r="P22" s="108" t="n">
        <f aca="false">SUM(P5:P21)</f>
        <v>372810</v>
      </c>
      <c r="Q22" s="118"/>
      <c r="R22" s="117" t="n">
        <f aca="false">SUM(R5:R21)</f>
        <v>1511188.04</v>
      </c>
      <c r="S22" s="116"/>
      <c r="T22" s="103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 t="n">
        <v>322632</v>
      </c>
      <c r="C23" s="108" t="n">
        <v>322211</v>
      </c>
      <c r="D23" s="108" t="n">
        <v>62973</v>
      </c>
      <c r="E23" s="108" t="n">
        <v>62006</v>
      </c>
      <c r="F23" s="108" t="n">
        <v>57755</v>
      </c>
      <c r="G23" s="108" t="n">
        <v>56963</v>
      </c>
      <c r="H23" s="108" t="n">
        <v>119641</v>
      </c>
      <c r="I23" s="108" t="n">
        <v>119045</v>
      </c>
      <c r="J23" s="108" t="n">
        <f aca="false">+C23+E23+G23+I23-H23-F23-D23-B23</f>
        <v>-2776</v>
      </c>
      <c r="M23" s="9"/>
      <c r="N23" s="108"/>
      <c r="O23" s="108"/>
      <c r="P23" s="117"/>
      <c r="Q23" s="118"/>
      <c r="R23" s="117"/>
      <c r="S23" s="116"/>
      <c r="T23" s="103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 t="n">
        <v>338791</v>
      </c>
      <c r="C24" s="108" t="n">
        <v>340947</v>
      </c>
      <c r="D24" s="108" t="n">
        <v>64404</v>
      </c>
      <c r="E24" s="108" t="n">
        <v>60467</v>
      </c>
      <c r="F24" s="108" t="n">
        <v>52773</v>
      </c>
      <c r="G24" s="108" t="n">
        <v>50154</v>
      </c>
      <c r="H24" s="108" t="n">
        <v>128561</v>
      </c>
      <c r="I24" s="108" t="n">
        <v>132981</v>
      </c>
      <c r="J24" s="108" t="n">
        <f aca="false">+C24+E24+G24+I24-H24-F24-D24-B24</f>
        <v>20</v>
      </c>
      <c r="M24" s="9"/>
      <c r="N24" s="108"/>
      <c r="O24" s="108"/>
      <c r="P24" s="117"/>
      <c r="Q24" s="118"/>
      <c r="R24" s="117"/>
      <c r="S24" s="116"/>
      <c r="T24" s="103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 t="n">
        <v>322113</v>
      </c>
      <c r="C25" s="108" t="n">
        <v>321612</v>
      </c>
      <c r="D25" s="108" t="n">
        <v>62032</v>
      </c>
      <c r="E25" s="108" t="n">
        <v>62005</v>
      </c>
      <c r="F25" s="108" t="n">
        <v>59462</v>
      </c>
      <c r="G25" s="108" t="n">
        <v>53971</v>
      </c>
      <c r="H25" s="108" t="n">
        <v>124463</v>
      </c>
      <c r="I25" s="108" t="n">
        <v>122727</v>
      </c>
      <c r="J25" s="108" t="n">
        <f aca="false">+C25+E25+G25+I25-H25-F25-D25-B25</f>
        <v>-7755</v>
      </c>
      <c r="M25" s="9"/>
      <c r="N25" s="108"/>
      <c r="O25" s="108"/>
      <c r="P25" s="117"/>
      <c r="Q25" s="118"/>
      <c r="R25" s="117"/>
      <c r="S25" s="116"/>
      <c r="T25" s="103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 t="n">
        <v>317312</v>
      </c>
      <c r="C26" s="108" t="n">
        <v>313150</v>
      </c>
      <c r="D26" s="108" t="n">
        <v>62012</v>
      </c>
      <c r="E26" s="108" t="n">
        <v>60837</v>
      </c>
      <c r="F26" s="108" t="n">
        <v>54209</v>
      </c>
      <c r="G26" s="108" t="n">
        <v>52721</v>
      </c>
      <c r="H26" s="108" t="n">
        <v>140828</v>
      </c>
      <c r="I26" s="108" t="n">
        <v>137994</v>
      </c>
      <c r="J26" s="108" t="n">
        <f aca="false">+C26+E26+G26+I26-H26-F26-D26-B26</f>
        <v>-9659</v>
      </c>
      <c r="M26" s="9"/>
      <c r="N26" s="108"/>
      <c r="O26" s="108"/>
      <c r="P26" s="117"/>
      <c r="Q26" s="118"/>
      <c r="R26" s="117"/>
      <c r="S26" s="116"/>
      <c r="T26" s="103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 t="n">
        <v>280757</v>
      </c>
      <c r="C27" s="108" t="n">
        <v>274743</v>
      </c>
      <c r="D27" s="108" t="n">
        <v>68585</v>
      </c>
      <c r="E27" s="108" t="n">
        <v>82867</v>
      </c>
      <c r="F27" s="108" t="n">
        <v>51834</v>
      </c>
      <c r="G27" s="108" t="n">
        <v>49477</v>
      </c>
      <c r="H27" s="108" t="n">
        <v>139939</v>
      </c>
      <c r="I27" s="108" t="n">
        <v>138872</v>
      </c>
      <c r="J27" s="108" t="n">
        <f aca="false">+C27+E27+G27+I27-H27-F27-D27-B27</f>
        <v>4844</v>
      </c>
      <c r="M27" s="9"/>
      <c r="N27" s="108"/>
      <c r="O27" s="108"/>
      <c r="P27" s="117"/>
      <c r="Q27" s="118"/>
      <c r="R27" s="117"/>
      <c r="S27" s="116"/>
      <c r="T27" s="103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 t="n">
        <v>305788</v>
      </c>
      <c r="C28" s="108" t="n">
        <v>302147</v>
      </c>
      <c r="D28" s="108" t="n">
        <v>64078</v>
      </c>
      <c r="E28" s="108" t="n">
        <v>62006</v>
      </c>
      <c r="F28" s="108" t="n">
        <v>47855</v>
      </c>
      <c r="G28" s="108" t="n">
        <v>55810</v>
      </c>
      <c r="H28" s="108" t="n">
        <v>117719</v>
      </c>
      <c r="I28" s="108" t="n">
        <v>111618</v>
      </c>
      <c r="J28" s="108" t="n">
        <f aca="false">+C28+E28+G28+I28-H28-F28-D28-B28</f>
        <v>-3859</v>
      </c>
      <c r="M28" s="9"/>
      <c r="N28" s="108"/>
      <c r="O28" s="108"/>
      <c r="P28" s="117"/>
      <c r="Q28" s="118"/>
      <c r="R28" s="117"/>
      <c r="S28" s="116"/>
      <c r="T28" s="103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 t="n">
        <v>295178</v>
      </c>
      <c r="C29" s="108" t="n">
        <v>298389</v>
      </c>
      <c r="D29" s="108" t="n">
        <v>65205</v>
      </c>
      <c r="E29" s="108" t="n">
        <v>62005</v>
      </c>
      <c r="F29" s="108" t="n">
        <v>55023</v>
      </c>
      <c r="G29" s="108" t="n">
        <v>53622</v>
      </c>
      <c r="H29" s="108" t="n">
        <v>104372</v>
      </c>
      <c r="I29" s="108" t="n">
        <v>97955</v>
      </c>
      <c r="J29" s="108" t="n">
        <f aca="false">+C29+E29+G29+I29-H29-F29-D29-B29</f>
        <v>-7807</v>
      </c>
      <c r="M29" s="9"/>
      <c r="N29" s="108"/>
      <c r="O29" s="108"/>
      <c r="P29" s="117"/>
      <c r="Q29" s="118"/>
      <c r="R29" s="117"/>
      <c r="S29" s="116"/>
      <c r="T29" s="103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 t="n">
        <v>301030</v>
      </c>
      <c r="C30" s="108" t="n">
        <v>288651</v>
      </c>
      <c r="D30" s="108" t="n">
        <v>72674</v>
      </c>
      <c r="E30" s="108" t="n">
        <v>73405</v>
      </c>
      <c r="F30" s="108" t="n">
        <v>56191</v>
      </c>
      <c r="G30" s="108" t="n">
        <v>57750</v>
      </c>
      <c r="H30" s="108" t="n">
        <v>113141</v>
      </c>
      <c r="I30" s="108" t="n">
        <v>119034</v>
      </c>
      <c r="J30" s="108" t="n">
        <f aca="false">+C30+E30+G30+I30-H30-F30-D30-B30</f>
        <v>-4196</v>
      </c>
      <c r="M30" s="9"/>
      <c r="N30" s="108"/>
      <c r="O30" s="108"/>
      <c r="P30" s="117"/>
      <c r="Q30" s="118"/>
      <c r="R30" s="117"/>
      <c r="S30" s="116"/>
      <c r="T30" s="103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M31" s="9"/>
      <c r="N31" s="108"/>
      <c r="O31" s="108"/>
      <c r="P31" s="117"/>
      <c r="Q31" s="118"/>
      <c r="R31" s="117"/>
      <c r="S31" s="116"/>
      <c r="T31" s="103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M32" s="9"/>
      <c r="N32" s="108"/>
      <c r="O32" s="9"/>
      <c r="P32" s="79"/>
      <c r="Q32" s="92"/>
      <c r="R32" s="117"/>
      <c r="S32" s="116"/>
      <c r="T32" s="103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M33" s="9"/>
      <c r="N33" s="108"/>
      <c r="O33" s="9"/>
      <c r="P33" s="79"/>
      <c r="Q33" s="92"/>
      <c r="R33" s="117"/>
      <c r="S33" s="116"/>
      <c r="T33" s="103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M34" s="9"/>
      <c r="N34" s="108"/>
      <c r="O34" s="9"/>
      <c r="P34" s="79"/>
      <c r="Q34" s="92"/>
      <c r="R34" s="117"/>
      <c r="S34" s="116"/>
      <c r="T34" s="103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8780749</v>
      </c>
      <c r="C35" s="108" t="n">
        <f aca="false">SUM(C4:C34)</f>
        <v>8892148</v>
      </c>
      <c r="D35" s="108" t="n">
        <f aca="false">SUM(D4:D34)</f>
        <v>1733239</v>
      </c>
      <c r="E35" s="108" t="n">
        <f aca="false">SUM(E4:E34)</f>
        <v>1649084</v>
      </c>
      <c r="F35" s="108" t="n">
        <f aca="false">SUM(F4:F34)</f>
        <v>1604042</v>
      </c>
      <c r="G35" s="108" t="n">
        <f aca="false">SUM(G4:G34)</f>
        <v>1590378</v>
      </c>
      <c r="H35" s="108" t="n">
        <f aca="false">SUM(H4:H34)</f>
        <v>3533693</v>
      </c>
      <c r="I35" s="108" t="n">
        <f aca="false">SUM(I4:I34)</f>
        <v>3492661</v>
      </c>
      <c r="J35" s="108" t="n">
        <f aca="false">SUM(J4:J34)</f>
        <v>-27452</v>
      </c>
      <c r="M35" s="9"/>
      <c r="N35" s="108"/>
      <c r="O35" s="9"/>
      <c r="P35" s="79"/>
      <c r="Q35" s="92"/>
      <c r="R35" s="117"/>
      <c r="S35" s="116"/>
      <c r="T35" s="103"/>
      <c r="U35" s="63"/>
      <c r="V35" s="79"/>
      <c r="W35" s="110"/>
    </row>
    <row r="36" customFormat="false" ht="12.75" hidden="false" customHeight="false" outlineLevel="0" collapsed="false">
      <c r="M36" s="9"/>
      <c r="N36" s="108"/>
      <c r="O36" s="9"/>
      <c r="P36" s="79"/>
      <c r="Q36" s="92"/>
      <c r="R36" s="117"/>
      <c r="S36" s="114"/>
      <c r="T36" s="103"/>
      <c r="U36" s="63"/>
      <c r="V36" s="79"/>
      <c r="W36" s="110"/>
    </row>
    <row r="37" customFormat="false" ht="12.75" hidden="false" customHeight="false" outlineLevel="0" collapsed="false">
      <c r="H37" s="30"/>
      <c r="I37" s="30"/>
      <c r="M37" s="9"/>
      <c r="N37" s="108"/>
      <c r="O37" s="9"/>
      <c r="P37" s="79"/>
      <c r="Q37" s="92"/>
      <c r="R37" s="117"/>
      <c r="S37" s="114"/>
      <c r="T37" s="103"/>
      <c r="U37" s="63"/>
      <c r="V37" s="79"/>
      <c r="W37" s="110"/>
    </row>
    <row r="38" customFormat="false" ht="12.75" hidden="false" customHeight="false" outlineLevel="0" collapsed="false">
      <c r="A38" s="119" t="n">
        <v>37103</v>
      </c>
      <c r="C38" s="120"/>
      <c r="E38" s="120"/>
      <c r="G38" s="120"/>
      <c r="I38" s="120"/>
      <c r="J38" s="121" t="n">
        <v>310268</v>
      </c>
      <c r="M38" s="9"/>
      <c r="N38" s="108"/>
      <c r="O38" s="9"/>
      <c r="P38" s="79"/>
      <c r="Q38" s="92"/>
      <c r="R38" s="117"/>
      <c r="S38" s="114"/>
      <c r="T38" s="103"/>
      <c r="U38" s="63"/>
      <c r="V38" s="79"/>
      <c r="W38" s="110"/>
    </row>
    <row r="39" customFormat="false" ht="12.75" hidden="false" customHeight="false" outlineLevel="0" collapsed="false">
      <c r="J39" s="108"/>
      <c r="M39" s="9"/>
      <c r="N39" s="108"/>
      <c r="O39" s="9"/>
      <c r="P39" s="79"/>
      <c r="Q39" s="92"/>
      <c r="R39" s="117"/>
      <c r="S39" s="114"/>
      <c r="T39" s="103"/>
      <c r="U39" s="63"/>
      <c r="V39" s="79"/>
      <c r="W39" s="110"/>
    </row>
    <row r="40" customFormat="false" ht="12.75" hidden="false" customHeight="false" outlineLevel="0" collapsed="false">
      <c r="A40" s="122" t="n">
        <v>37130</v>
      </c>
      <c r="J40" s="108" t="n">
        <f aca="false">+J38+J35</f>
        <v>282816</v>
      </c>
      <c r="M40" s="9"/>
      <c r="N40" s="108"/>
      <c r="O40" s="9"/>
      <c r="P40" s="79"/>
      <c r="Q40" s="92"/>
      <c r="R40" s="117"/>
      <c r="S40" s="114"/>
      <c r="T40" s="103"/>
      <c r="U40" s="63"/>
      <c r="V40" s="79"/>
      <c r="W40" s="110"/>
    </row>
    <row r="41" customFormat="false" ht="12.75" hidden="false" customHeight="false" outlineLevel="0" collapsed="false">
      <c r="M41" s="9"/>
      <c r="N41" s="108"/>
      <c r="O41" s="9"/>
      <c r="P41" s="79"/>
      <c r="Q41" s="92"/>
      <c r="R41" s="117"/>
      <c r="S41" s="114"/>
      <c r="T41" s="103"/>
      <c r="U41" s="63"/>
      <c r="V41" s="79"/>
      <c r="W41" s="110"/>
    </row>
    <row r="42" customFormat="false" ht="12.75" hidden="false" customHeight="false" outlineLevel="0" collapsed="false">
      <c r="M42" s="9"/>
      <c r="N42" s="108"/>
      <c r="O42" s="9"/>
      <c r="P42" s="79"/>
      <c r="Q42" s="92"/>
      <c r="R42" s="117"/>
      <c r="S42" s="114"/>
      <c r="T42" s="103"/>
      <c r="U42" s="63"/>
      <c r="V42" s="79"/>
      <c r="W42" s="110"/>
    </row>
    <row r="43" customFormat="false" ht="12.75" hidden="false" customHeight="false" outlineLevel="0" collapsed="false">
      <c r="M43" s="9"/>
      <c r="N43" s="108"/>
      <c r="O43" s="9"/>
      <c r="P43" s="79"/>
      <c r="Q43" s="92"/>
      <c r="R43" s="117"/>
      <c r="S43" s="114"/>
      <c r="T43" s="103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23"/>
      <c r="N44" s="108"/>
      <c r="O44" s="9"/>
      <c r="P44" s="79"/>
      <c r="Q44" s="92"/>
      <c r="R44" s="117"/>
      <c r="S44" s="114"/>
      <c r="T44" s="103"/>
      <c r="U44" s="63"/>
      <c r="V44" s="79"/>
      <c r="W44" s="110"/>
    </row>
    <row r="45" customFormat="false" ht="12.75" hidden="false" customHeight="false" outlineLevel="0" collapsed="false">
      <c r="A45" s="9" t="s">
        <v>120</v>
      </c>
      <c r="B45" s="9"/>
      <c r="C45" s="9"/>
      <c r="D45" s="16"/>
      <c r="E45" s="100"/>
      <c r="F45" s="100"/>
      <c r="G45" s="100"/>
      <c r="H45" s="100"/>
      <c r="I45" s="100"/>
      <c r="J45" s="100"/>
      <c r="K45" s="19"/>
      <c r="M45" s="123"/>
      <c r="N45" s="108"/>
      <c r="O45" s="9"/>
      <c r="P45" s="79"/>
      <c r="Q45" s="92"/>
      <c r="R45" s="117"/>
      <c r="S45" s="114"/>
      <c r="T45" s="103"/>
      <c r="U45" s="63"/>
      <c r="V45" s="79"/>
      <c r="W45" s="110"/>
    </row>
    <row r="46" customFormat="false" ht="12.75" hidden="false" customHeight="false" outlineLevel="0" collapsed="false">
      <c r="A46" s="124" t="n">
        <f aca="false">+A38</f>
        <v>37103</v>
      </c>
      <c r="B46" s="9"/>
      <c r="C46" s="9"/>
      <c r="D46" s="125" t="n">
        <v>1379269.57</v>
      </c>
      <c r="E46" s="101"/>
      <c r="F46" s="101"/>
      <c r="G46" s="101"/>
      <c r="H46" s="101"/>
      <c r="I46" s="101"/>
      <c r="J46" s="101"/>
      <c r="K46" s="19"/>
      <c r="M46" s="123"/>
      <c r="N46" s="9"/>
      <c r="O46" s="9"/>
      <c r="P46" s="79"/>
      <c r="Q46" s="92"/>
      <c r="R46" s="117"/>
      <c r="S46" s="114"/>
      <c r="T46" s="103"/>
      <c r="U46" s="63"/>
      <c r="V46" s="79"/>
      <c r="W46" s="110"/>
    </row>
    <row r="47" customFormat="false" ht="12.75" hidden="false" customHeight="false" outlineLevel="0" collapsed="false">
      <c r="A47" s="124" t="n">
        <f aca="false">+A40</f>
        <v>37130</v>
      </c>
      <c r="B47" s="9"/>
      <c r="C47" s="9"/>
      <c r="D47" s="126" t="n">
        <f aca="false">+J35*'by type'!J3</f>
        <v>-72198.76</v>
      </c>
      <c r="E47" s="108"/>
      <c r="F47" s="108"/>
      <c r="G47" s="108"/>
      <c r="H47" s="108"/>
      <c r="I47" s="108"/>
      <c r="J47" s="108"/>
      <c r="K47" s="19"/>
      <c r="M47" s="123"/>
      <c r="N47" s="9"/>
      <c r="O47" s="9"/>
      <c r="P47" s="79"/>
      <c r="Q47" s="92"/>
      <c r="R47" s="117"/>
      <c r="S47" s="114"/>
      <c r="T47" s="103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58" t="n">
        <f aca="false">+D47+D46</f>
        <v>1307070.81</v>
      </c>
      <c r="E48" s="108"/>
      <c r="F48" s="108"/>
      <c r="G48" s="108"/>
      <c r="H48" s="108"/>
      <c r="I48" s="108"/>
      <c r="J48" s="108"/>
      <c r="K48" s="19"/>
      <c r="M48" s="123"/>
      <c r="N48" s="9"/>
      <c r="O48" s="9"/>
      <c r="P48" s="79"/>
      <c r="Q48" s="92"/>
      <c r="R48" s="79"/>
      <c r="S48" s="114"/>
      <c r="T48" s="9"/>
    </row>
    <row r="49" customFormat="false" ht="12.75" hidden="false" customHeight="false" outlineLevel="0" collapsed="false">
      <c r="A49" s="127"/>
      <c r="B49" s="128"/>
      <c r="C49" s="129"/>
      <c r="D49" s="130"/>
      <c r="E49" s="108"/>
      <c r="F49" s="108"/>
      <c r="G49" s="108"/>
      <c r="H49" s="108"/>
      <c r="I49" s="108"/>
      <c r="J49" s="108"/>
      <c r="K49" s="19"/>
      <c r="M49" s="123"/>
      <c r="N49" s="9"/>
      <c r="O49" s="9"/>
      <c r="P49" s="79"/>
      <c r="Q49" s="92"/>
      <c r="R49" s="79"/>
      <c r="S49" s="9"/>
      <c r="T49" s="9"/>
    </row>
    <row r="50" customFormat="false" ht="12.75" hidden="false" customHeight="false" outlineLevel="0" collapsed="false">
      <c r="A50" s="107"/>
      <c r="B50" s="108"/>
      <c r="C50" s="108"/>
      <c r="D50" s="131"/>
      <c r="E50" s="108"/>
      <c r="F50" s="108"/>
      <c r="G50" s="108"/>
      <c r="H50" s="108"/>
      <c r="I50" s="108"/>
      <c r="J50" s="108"/>
      <c r="K50" s="19"/>
      <c r="M50" s="123"/>
      <c r="N50" s="9"/>
      <c r="O50" s="9"/>
      <c r="P50" s="79"/>
      <c r="Q50" s="92"/>
      <c r="R50" s="79"/>
      <c r="S50" s="9"/>
      <c r="T50" s="9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23"/>
      <c r="N51" s="9"/>
      <c r="O51" s="9"/>
      <c r="P51" s="79"/>
      <c r="Q51" s="92"/>
      <c r="R51" s="79"/>
      <c r="S51" s="9"/>
      <c r="T51" s="9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23"/>
      <c r="N52" s="9"/>
      <c r="O52" s="9"/>
      <c r="P52" s="79"/>
      <c r="Q52" s="92"/>
      <c r="R52" s="79"/>
      <c r="S52" s="9"/>
      <c r="T52" s="9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23"/>
      <c r="N53" s="9"/>
      <c r="O53" s="9"/>
      <c r="P53" s="79"/>
      <c r="Q53" s="92"/>
      <c r="R53" s="79"/>
      <c r="S53" s="9"/>
      <c r="T53" s="9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23"/>
      <c r="N54" s="9"/>
      <c r="O54" s="9"/>
      <c r="P54" s="79"/>
      <c r="Q54" s="92"/>
      <c r="R54" s="79"/>
      <c r="S54" s="9"/>
      <c r="T54" s="9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23"/>
      <c r="N55" s="9"/>
      <c r="O55" s="9"/>
      <c r="P55" s="79"/>
      <c r="Q55" s="92"/>
      <c r="R55" s="79"/>
      <c r="S55" s="9"/>
      <c r="T55" s="9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23"/>
      <c r="N56" s="9"/>
      <c r="O56" s="9"/>
      <c r="P56" s="79"/>
      <c r="Q56" s="92"/>
      <c r="R56" s="79"/>
      <c r="S56" s="9"/>
      <c r="T56" s="9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23"/>
      <c r="N57" s="9"/>
      <c r="O57" s="9"/>
      <c r="P57" s="79"/>
      <c r="Q57" s="92"/>
      <c r="R57" s="79"/>
      <c r="S57" s="9"/>
      <c r="T57" s="9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23"/>
      <c r="N58" s="9"/>
      <c r="O58" s="9"/>
      <c r="P58" s="79"/>
      <c r="Q58" s="92"/>
      <c r="R58" s="79"/>
      <c r="S58" s="9"/>
      <c r="T58" s="9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23"/>
      <c r="N59" s="9"/>
      <c r="O59" s="9"/>
      <c r="P59" s="79"/>
      <c r="Q59" s="92"/>
      <c r="R59" s="79"/>
      <c r="S59" s="9"/>
      <c r="T59" s="9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23"/>
      <c r="N60" s="9"/>
      <c r="O60" s="9"/>
      <c r="P60" s="79"/>
      <c r="Q60" s="92"/>
      <c r="R60" s="79"/>
      <c r="S60" s="9"/>
      <c r="T60" s="9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23"/>
      <c r="N61" s="9"/>
      <c r="O61" s="9"/>
      <c r="P61" s="79"/>
      <c r="Q61" s="92"/>
      <c r="R61" s="79"/>
      <c r="S61" s="9"/>
      <c r="T61" s="9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23"/>
      <c r="N62" s="9"/>
      <c r="O62" s="9"/>
      <c r="P62" s="79"/>
      <c r="Q62" s="92"/>
      <c r="R62" s="79"/>
      <c r="S62" s="9"/>
      <c r="T62" s="9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23"/>
      <c r="N63" s="9"/>
      <c r="O63" s="9"/>
      <c r="P63" s="79"/>
      <c r="Q63" s="92"/>
      <c r="R63" s="79"/>
      <c r="S63" s="9"/>
      <c r="T63" s="9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23"/>
      <c r="N64" s="9"/>
      <c r="O64" s="9"/>
      <c r="P64" s="79"/>
      <c r="Q64" s="92"/>
      <c r="R64" s="79"/>
      <c r="S64" s="9"/>
      <c r="T64" s="9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23"/>
      <c r="N65" s="9"/>
      <c r="O65" s="9"/>
      <c r="P65" s="79"/>
      <c r="Q65" s="92"/>
      <c r="R65" s="79"/>
      <c r="S65" s="9"/>
      <c r="T65" s="9"/>
    </row>
    <row r="66" customFormat="false" ht="12.75" hidden="false" customHeight="false" outlineLevel="0" collapsed="false">
      <c r="A66" s="107"/>
      <c r="B66" s="108"/>
      <c r="C66" s="108"/>
      <c r="D66" s="108" t="n">
        <v>300359.04</v>
      </c>
      <c r="E66" s="108"/>
      <c r="F66" s="108"/>
      <c r="G66" s="108"/>
      <c r="H66" s="108"/>
      <c r="I66" s="108"/>
      <c r="J66" s="108"/>
      <c r="K66" s="19"/>
      <c r="M66" s="123"/>
      <c r="N66" s="9"/>
      <c r="O66" s="9"/>
      <c r="P66" s="79"/>
      <c r="Q66" s="92"/>
      <c r="R66" s="79"/>
      <c r="S66" s="9"/>
      <c r="T66" s="9"/>
    </row>
    <row r="67" customFormat="false" ht="12.75" hidden="false" customHeight="false" outlineLevel="0" collapsed="false">
      <c r="A67" s="107"/>
      <c r="B67" s="108"/>
      <c r="C67" s="108"/>
      <c r="D67" s="108" t="n">
        <v>-250735.54</v>
      </c>
      <c r="E67" s="108"/>
      <c r="F67" s="108"/>
      <c r="G67" s="108"/>
      <c r="H67" s="108"/>
      <c r="I67" s="108"/>
      <c r="J67" s="108"/>
      <c r="K67" s="19"/>
      <c r="M67" s="9"/>
      <c r="N67" s="9"/>
      <c r="O67" s="9"/>
      <c r="P67" s="79"/>
      <c r="Q67" s="92"/>
      <c r="R67" s="79"/>
      <c r="S67" s="9"/>
      <c r="T67" s="9"/>
    </row>
    <row r="68" customFormat="false" ht="12.75" hidden="false" customHeight="false" outlineLevel="0" collapsed="false">
      <c r="A68" s="107"/>
      <c r="B68" s="108"/>
      <c r="C68" s="108"/>
      <c r="D68" s="108" t="n">
        <v>44931.54</v>
      </c>
      <c r="E68" s="108"/>
      <c r="F68" s="108"/>
      <c r="G68" s="108"/>
      <c r="H68" s="108"/>
      <c r="I68" s="108"/>
      <c r="J68" s="108"/>
      <c r="K68" s="19"/>
      <c r="M68" s="123"/>
      <c r="N68" s="108"/>
      <c r="O68" s="108"/>
      <c r="P68" s="117"/>
      <c r="Q68" s="118"/>
      <c r="R68" s="117"/>
      <c r="S68" s="114"/>
      <c r="T68" s="132"/>
    </row>
    <row r="69" customFormat="false" ht="12.75" hidden="false" customHeight="false" outlineLevel="0" collapsed="false">
      <c r="A69" s="107"/>
      <c r="B69" s="108"/>
      <c r="C69" s="108"/>
      <c r="D69" s="108" t="n">
        <v>2153062.32</v>
      </c>
      <c r="E69" s="108"/>
      <c r="F69" s="108"/>
      <c r="G69" s="108"/>
      <c r="H69" s="108"/>
      <c r="I69" s="108"/>
      <c r="J69" s="108"/>
      <c r="K69" s="19"/>
      <c r="M69" s="123"/>
      <c r="N69" s="108"/>
      <c r="O69" s="108"/>
      <c r="P69" s="117"/>
      <c r="Q69" s="118"/>
      <c r="R69" s="117"/>
      <c r="S69" s="114"/>
      <c r="T69" s="132"/>
    </row>
    <row r="70" customFormat="false" ht="12.75" hidden="false" customHeight="false" outlineLevel="0" collapsed="false">
      <c r="A70" s="107"/>
      <c r="B70" s="108"/>
      <c r="C70" s="108"/>
      <c r="D70" s="108" t="n">
        <f aca="false">SUM(D66:D69)</f>
        <v>2247617.36</v>
      </c>
      <c r="E70" s="108"/>
      <c r="F70" s="108"/>
      <c r="G70" s="108"/>
      <c r="H70" s="108"/>
      <c r="I70" s="108"/>
      <c r="J70" s="108"/>
      <c r="K70" s="19"/>
      <c r="M70" s="123"/>
      <c r="N70" s="108"/>
      <c r="O70" s="108"/>
      <c r="P70" s="117"/>
      <c r="Q70" s="118"/>
      <c r="R70" s="117"/>
      <c r="S70" s="114"/>
      <c r="T70" s="132"/>
    </row>
    <row r="71" customFormat="false" ht="12.75" hidden="false" customHeight="false" outlineLevel="0" collapsed="false">
      <c r="A71" s="107"/>
      <c r="B71" s="108"/>
      <c r="C71" s="108"/>
      <c r="D71" s="133" t="n">
        <v>0.0238</v>
      </c>
      <c r="E71" s="108"/>
      <c r="F71" s="108"/>
      <c r="G71" s="108"/>
      <c r="H71" s="108"/>
      <c r="I71" s="108"/>
      <c r="J71" s="108"/>
      <c r="K71" s="19"/>
      <c r="M71" s="123"/>
      <c r="N71" s="108"/>
      <c r="O71" s="108"/>
      <c r="P71" s="117"/>
      <c r="Q71" s="118"/>
      <c r="R71" s="117"/>
      <c r="S71" s="114"/>
      <c r="T71" s="132"/>
    </row>
    <row r="72" customFormat="false" ht="12.75" hidden="false" customHeight="false" outlineLevel="0" collapsed="false">
      <c r="A72" s="107"/>
      <c r="B72" s="108"/>
      <c r="C72" s="108"/>
      <c r="D72" s="133" t="n">
        <v>0.0153</v>
      </c>
      <c r="E72" s="108"/>
      <c r="F72" s="108"/>
      <c r="G72" s="108"/>
      <c r="H72" s="108"/>
      <c r="I72" s="108"/>
      <c r="J72" s="108"/>
      <c r="K72" s="19"/>
      <c r="M72" s="123"/>
      <c r="N72" s="108"/>
      <c r="O72" s="108"/>
      <c r="P72" s="117"/>
      <c r="Q72" s="118"/>
      <c r="R72" s="117"/>
      <c r="S72" s="114"/>
      <c r="T72" s="132"/>
    </row>
    <row r="73" customFormat="false" ht="12.75" hidden="false" customHeight="false" outlineLevel="0" collapsed="false">
      <c r="A73" s="107"/>
      <c r="B73" s="108"/>
      <c r="C73" s="108"/>
      <c r="D73" s="133" t="n">
        <f aca="false">+D71-D72</f>
        <v>0.0085</v>
      </c>
      <c r="E73" s="108"/>
      <c r="F73" s="108"/>
      <c r="G73" s="108"/>
      <c r="H73" s="108"/>
      <c r="I73" s="108"/>
      <c r="J73" s="108"/>
      <c r="K73" s="19"/>
      <c r="M73" s="123"/>
      <c r="N73" s="108"/>
      <c r="O73" s="108"/>
      <c r="P73" s="117"/>
      <c r="Q73" s="118"/>
      <c r="R73" s="117"/>
      <c r="S73" s="114"/>
      <c r="T73" s="132"/>
    </row>
    <row r="74" customFormat="false" ht="12.75" hidden="false" customHeight="false" outlineLevel="0" collapsed="false">
      <c r="A74" s="107"/>
      <c r="B74" s="108"/>
      <c r="C74" s="108"/>
      <c r="D74" s="108" t="n">
        <f aca="false">+D73*5838059</f>
        <v>49623.5015</v>
      </c>
      <c r="E74" s="108"/>
      <c r="F74" s="108"/>
      <c r="G74" s="108"/>
      <c r="H74" s="108"/>
      <c r="I74" s="108"/>
      <c r="J74" s="108"/>
      <c r="K74" s="19"/>
      <c r="M74" s="123"/>
      <c r="N74" s="108"/>
      <c r="O74" s="108"/>
      <c r="P74" s="117"/>
      <c r="Q74" s="118"/>
      <c r="R74" s="117"/>
      <c r="S74" s="116"/>
      <c r="T74" s="132"/>
    </row>
    <row r="75" customFormat="false" ht="12.75" hidden="false" customHeight="false" outlineLevel="0" collapsed="false">
      <c r="A75" s="107"/>
      <c r="B75" s="108"/>
      <c r="C75" s="108"/>
      <c r="D75" s="108" t="n">
        <f aca="false">SUM(D71:D74)</f>
        <v>49623.5491</v>
      </c>
      <c r="E75" s="108"/>
      <c r="F75" s="108"/>
      <c r="G75" s="108"/>
      <c r="H75" s="108"/>
      <c r="I75" s="108"/>
      <c r="J75" s="108"/>
      <c r="K75" s="19"/>
      <c r="M75" s="123"/>
      <c r="N75" s="108"/>
      <c r="O75" s="108"/>
      <c r="P75" s="117"/>
      <c r="Q75" s="118"/>
      <c r="R75" s="117"/>
      <c r="S75" s="116"/>
      <c r="T75" s="132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23"/>
      <c r="N76" s="108"/>
      <c r="O76" s="108"/>
      <c r="P76" s="117"/>
      <c r="Q76" s="118"/>
      <c r="R76" s="117"/>
      <c r="S76" s="116"/>
      <c r="T76" s="132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23"/>
      <c r="N77" s="108"/>
      <c r="O77" s="108"/>
      <c r="P77" s="117"/>
      <c r="Q77" s="118"/>
      <c r="R77" s="117"/>
      <c r="S77" s="116"/>
      <c r="T77" s="132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23"/>
      <c r="N78" s="108"/>
      <c r="O78" s="108"/>
      <c r="P78" s="117"/>
      <c r="Q78" s="118"/>
      <c r="R78" s="117"/>
      <c r="S78" s="116"/>
      <c r="T78" s="132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23"/>
      <c r="N79" s="108"/>
      <c r="O79" s="108"/>
      <c r="P79" s="117"/>
      <c r="Q79" s="118"/>
      <c r="R79" s="117"/>
      <c r="S79" s="116"/>
      <c r="T79" s="132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23"/>
      <c r="N80" s="108"/>
      <c r="O80" s="108"/>
      <c r="P80" s="117"/>
      <c r="Q80" s="118"/>
      <c r="R80" s="117"/>
      <c r="S80" s="116"/>
      <c r="T80" s="132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23"/>
      <c r="N81" s="108"/>
      <c r="O81" s="108"/>
      <c r="P81" s="117"/>
      <c r="Q81" s="118"/>
      <c r="R81" s="117"/>
      <c r="S81" s="9"/>
      <c r="T81" s="132"/>
    </row>
    <row r="82" customFormat="false" ht="12.75" hidden="false" customHeight="false" outlineLevel="0" collapsed="false">
      <c r="A82" s="134"/>
      <c r="K82" s="19"/>
      <c r="M82" s="123"/>
      <c r="N82" s="108"/>
      <c r="O82" s="108"/>
      <c r="P82" s="117"/>
      <c r="Q82" s="118"/>
      <c r="R82" s="117"/>
      <c r="S82" s="9"/>
      <c r="T82" s="132"/>
    </row>
    <row r="83" customFormat="false" ht="12.75" hidden="false" customHeight="false" outlineLevel="0" collapsed="false">
      <c r="A83" s="134"/>
      <c r="K83" s="19"/>
      <c r="M83" s="123"/>
      <c r="N83" s="108"/>
      <c r="O83" s="108"/>
      <c r="P83" s="117"/>
      <c r="Q83" s="118"/>
      <c r="R83" s="117"/>
      <c r="S83" s="9"/>
      <c r="T83" s="132"/>
    </row>
    <row r="84" customFormat="false" ht="12.75" hidden="false" customHeight="false" outlineLevel="0" collapsed="false">
      <c r="A84" s="134"/>
      <c r="K84" s="19"/>
      <c r="M84" s="123"/>
      <c r="N84" s="108"/>
      <c r="O84" s="108"/>
      <c r="P84" s="117"/>
      <c r="Q84" s="118"/>
      <c r="R84" s="117"/>
      <c r="S84" s="9"/>
      <c r="T84" s="132"/>
    </row>
    <row r="85" customFormat="false" ht="12.75" hidden="false" customHeight="false" outlineLevel="0" collapsed="false">
      <c r="A85" s="134"/>
      <c r="K85" s="19"/>
      <c r="M85" s="123"/>
      <c r="N85" s="108"/>
      <c r="O85" s="108"/>
      <c r="P85" s="117"/>
      <c r="Q85" s="118"/>
      <c r="R85" s="117"/>
      <c r="S85" s="9"/>
      <c r="T85" s="132"/>
    </row>
    <row r="86" customFormat="false" ht="12.75" hidden="false" customHeight="false" outlineLevel="0" collapsed="false">
      <c r="A86" s="134"/>
      <c r="K86" s="19"/>
      <c r="M86" s="123"/>
      <c r="N86" s="108"/>
      <c r="O86" s="108"/>
      <c r="P86" s="117"/>
      <c r="Q86" s="118"/>
      <c r="R86" s="117"/>
      <c r="S86" s="9"/>
      <c r="T86" s="132"/>
    </row>
    <row r="87" customFormat="false" ht="12.75" hidden="false" customHeight="false" outlineLevel="0" collapsed="false">
      <c r="A87" s="134"/>
      <c r="K87" s="19"/>
      <c r="M87" s="123"/>
      <c r="N87" s="108"/>
      <c r="O87" s="108"/>
      <c r="P87" s="117"/>
      <c r="Q87" s="118"/>
      <c r="R87" s="117"/>
      <c r="S87" s="9"/>
      <c r="T87" s="132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23"/>
      <c r="N88" s="108"/>
      <c r="O88" s="108"/>
      <c r="P88" s="117"/>
      <c r="Q88" s="118"/>
      <c r="R88" s="117"/>
      <c r="S88" s="9"/>
      <c r="T88" s="132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23"/>
      <c r="N89" s="108"/>
      <c r="O89" s="108"/>
      <c r="P89" s="117"/>
      <c r="Q89" s="118"/>
      <c r="R89" s="117"/>
      <c r="S89" s="9"/>
      <c r="T89" s="132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23"/>
      <c r="N90" s="120"/>
      <c r="O90" s="120"/>
      <c r="P90" s="103"/>
      <c r="Q90" s="104"/>
      <c r="R90" s="103"/>
      <c r="S90" s="9"/>
      <c r="T90" s="19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  <c r="M91" s="9"/>
      <c r="N91" s="9"/>
      <c r="O91" s="9"/>
      <c r="P91" s="79"/>
      <c r="Q91" s="92"/>
      <c r="R91" s="79"/>
      <c r="S91" s="9"/>
      <c r="T91" s="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  <c r="M92" s="9"/>
      <c r="N92" s="9"/>
      <c r="O92" s="9"/>
      <c r="P92" s="79"/>
      <c r="Q92" s="92"/>
      <c r="R92" s="79"/>
      <c r="S92" s="9"/>
      <c r="T92" s="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  <c r="M93" s="9"/>
      <c r="N93" s="9"/>
      <c r="O93" s="9"/>
      <c r="P93" s="79"/>
      <c r="Q93" s="92"/>
      <c r="R93" s="79"/>
      <c r="S93" s="9"/>
      <c r="T93" s="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  <c r="M94" s="9"/>
      <c r="N94" s="9"/>
      <c r="O94" s="9"/>
      <c r="P94" s="79"/>
      <c r="Q94" s="92"/>
      <c r="R94" s="79"/>
      <c r="S94" s="9"/>
      <c r="T94" s="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  <c r="M95" s="9"/>
      <c r="N95" s="9"/>
      <c r="O95" s="9"/>
      <c r="P95" s="79"/>
      <c r="Q95" s="92"/>
      <c r="R95" s="79"/>
      <c r="S95" s="9"/>
      <c r="T95" s="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  <c r="M96" s="9"/>
      <c r="N96" s="9"/>
      <c r="O96" s="9"/>
      <c r="P96" s="79"/>
      <c r="Q96" s="92"/>
      <c r="R96" s="79"/>
      <c r="S96" s="9"/>
      <c r="T96" s="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  <c r="M97" s="9"/>
      <c r="N97" s="9"/>
      <c r="O97" s="9"/>
      <c r="P97" s="79"/>
      <c r="Q97" s="92"/>
      <c r="R97" s="79"/>
      <c r="S97" s="9"/>
      <c r="T97" s="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  <c r="M98" s="9"/>
      <c r="N98" s="9"/>
      <c r="O98" s="9"/>
      <c r="P98" s="79"/>
      <c r="Q98" s="92"/>
      <c r="R98" s="79"/>
      <c r="S98" s="9"/>
      <c r="T98" s="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  <c r="M99" s="9"/>
      <c r="N99" s="9"/>
      <c r="O99" s="9"/>
      <c r="P99" s="79"/>
      <c r="Q99" s="92"/>
      <c r="R99" s="79"/>
      <c r="S99" s="9"/>
      <c r="T99" s="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  <c r="M100" s="9"/>
      <c r="N100" s="9"/>
      <c r="O100" s="9"/>
      <c r="P100" s="79"/>
      <c r="Q100" s="92"/>
      <c r="R100" s="79"/>
      <c r="S100" s="9"/>
      <c r="T100" s="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  <c r="M101" s="9"/>
      <c r="N101" s="9"/>
      <c r="O101" s="9"/>
      <c r="P101" s="79"/>
      <c r="Q101" s="92"/>
      <c r="R101" s="79"/>
      <c r="S101" s="9"/>
      <c r="T101" s="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  <c r="M102" s="9"/>
      <c r="N102" s="9"/>
      <c r="O102" s="9"/>
      <c r="P102" s="79"/>
      <c r="Q102" s="92"/>
      <c r="R102" s="79"/>
      <c r="S102" s="9"/>
      <c r="T102" s="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  <c r="M103" s="9"/>
      <c r="N103" s="9"/>
      <c r="O103" s="9"/>
      <c r="P103" s="79"/>
      <c r="Q103" s="92"/>
      <c r="R103" s="79"/>
      <c r="S103" s="9"/>
      <c r="T103" s="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  <c r="M104" s="9"/>
      <c r="N104" s="9"/>
      <c r="O104" s="9"/>
      <c r="P104" s="79"/>
      <c r="Q104" s="92"/>
      <c r="R104" s="79"/>
      <c r="S104" s="9"/>
      <c r="T104" s="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  <c r="M105" s="9"/>
      <c r="N105" s="9"/>
      <c r="O105" s="9"/>
      <c r="P105" s="79"/>
      <c r="Q105" s="92"/>
      <c r="R105" s="79"/>
      <c r="S105" s="9"/>
      <c r="T105" s="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  <c r="M106" s="9"/>
      <c r="N106" s="9"/>
      <c r="O106" s="9"/>
      <c r="P106" s="79"/>
      <c r="Q106" s="92"/>
      <c r="R106" s="79"/>
      <c r="S106" s="9"/>
      <c r="T106" s="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  <c r="M107" s="9"/>
      <c r="N107" s="9"/>
      <c r="O107" s="9"/>
      <c r="P107" s="79"/>
      <c r="Q107" s="92"/>
      <c r="R107" s="79"/>
      <c r="S107" s="9"/>
      <c r="T107" s="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  <c r="M108" s="9"/>
      <c r="N108" s="9"/>
      <c r="O108" s="9"/>
      <c r="P108" s="79"/>
      <c r="Q108" s="92"/>
      <c r="R108" s="79"/>
      <c r="S108" s="9"/>
      <c r="T108" s="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  <c r="M109" s="9"/>
      <c r="N109" s="9"/>
      <c r="O109" s="9"/>
      <c r="P109" s="79"/>
      <c r="Q109" s="92"/>
      <c r="R109" s="79"/>
      <c r="S109" s="9"/>
      <c r="T109" s="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13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9"/>
      <c r="Q255" s="104"/>
      <c r="R255" s="109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39"/>
      <c r="Q256" s="140"/>
      <c r="R256" s="139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17"/>
      <c r="Q257" s="118"/>
      <c r="R257" s="117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17"/>
      <c r="Q258" s="118"/>
      <c r="R258" s="117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17"/>
      <c r="Q259" s="118"/>
      <c r="R259" s="117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17"/>
      <c r="Q260" s="118"/>
      <c r="R260" s="117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17"/>
      <c r="Q261" s="118"/>
      <c r="R261" s="117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17"/>
      <c r="Q262" s="118"/>
      <c r="R262" s="117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17"/>
      <c r="Q263" s="118"/>
      <c r="R263" s="117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17"/>
      <c r="Q264" s="118"/>
      <c r="R264" s="117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17"/>
      <c r="Q265" s="118"/>
      <c r="R265" s="117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17"/>
      <c r="Q266" s="118"/>
      <c r="R266" s="117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17"/>
      <c r="Q267" s="118"/>
      <c r="R267" s="117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17"/>
      <c r="Q268" s="118"/>
      <c r="R268" s="117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17"/>
      <c r="Q269" s="118"/>
      <c r="R269" s="117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17"/>
      <c r="Q270" s="118"/>
      <c r="R270" s="117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17"/>
      <c r="Q271" s="118"/>
      <c r="R271" s="117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17"/>
      <c r="Q272" s="118"/>
      <c r="R272" s="117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17"/>
      <c r="Q273" s="118"/>
      <c r="R273" s="117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17"/>
      <c r="Q274" s="118"/>
      <c r="R274" s="117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17"/>
      <c r="Q275" s="118"/>
      <c r="R275" s="117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17"/>
      <c r="Q276" s="118"/>
      <c r="R276" s="117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17"/>
      <c r="Q277" s="118"/>
      <c r="R277" s="117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17"/>
      <c r="Q278" s="118"/>
      <c r="R278" s="117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17"/>
      <c r="Q279" s="118"/>
      <c r="R279" s="117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17"/>
      <c r="Q280" s="118"/>
      <c r="R280" s="117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17"/>
      <c r="Q281" s="118"/>
      <c r="R281" s="117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17"/>
      <c r="Q282" s="118"/>
      <c r="R282" s="117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17"/>
      <c r="Q283" s="118"/>
      <c r="R283" s="117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17"/>
      <c r="Q284" s="118"/>
      <c r="R284" s="117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17"/>
      <c r="Q285" s="118"/>
      <c r="R285" s="117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17"/>
      <c r="Q286" s="118"/>
      <c r="R286" s="117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17"/>
      <c r="Q287" s="118"/>
      <c r="R287" s="117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17"/>
      <c r="Q288" s="118"/>
      <c r="R288" s="117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13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9"/>
      <c r="Q296" s="104"/>
      <c r="R296" s="109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39"/>
      <c r="Q297" s="140"/>
      <c r="R297" s="139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17"/>
      <c r="Q298" s="118"/>
      <c r="R298" s="117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17"/>
      <c r="Q299" s="118"/>
      <c r="R299" s="117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17"/>
      <c r="Q300" s="118"/>
      <c r="R300" s="117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17"/>
      <c r="Q301" s="118"/>
      <c r="R301" s="117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17"/>
      <c r="Q302" s="118"/>
      <c r="R302" s="117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17"/>
      <c r="Q303" s="118"/>
      <c r="R303" s="117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17"/>
      <c r="Q304" s="118"/>
      <c r="R304" s="117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17"/>
      <c r="Q305" s="118"/>
      <c r="R305" s="117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17"/>
      <c r="Q306" s="118"/>
      <c r="R306" s="117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17"/>
      <c r="Q307" s="118"/>
      <c r="R307" s="117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17"/>
      <c r="Q308" s="118"/>
      <c r="R308" s="117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17"/>
      <c r="Q309" s="118"/>
      <c r="R309" s="117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17"/>
      <c r="Q310" s="118"/>
      <c r="R310" s="117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17"/>
      <c r="Q311" s="118"/>
      <c r="R311" s="117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17"/>
      <c r="Q312" s="118"/>
      <c r="R312" s="117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17"/>
      <c r="Q313" s="118"/>
      <c r="R313" s="117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17"/>
      <c r="Q314" s="118"/>
      <c r="R314" s="117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17"/>
      <c r="Q315" s="118"/>
      <c r="R315" s="117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17"/>
      <c r="Q316" s="118"/>
      <c r="R316" s="117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17"/>
      <c r="Q317" s="118"/>
      <c r="R317" s="117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17"/>
      <c r="Q318" s="118"/>
      <c r="R318" s="117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17"/>
      <c r="Q319" s="118"/>
      <c r="R319" s="117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17"/>
      <c r="Q320" s="118"/>
      <c r="R320" s="117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17"/>
      <c r="Q321" s="118"/>
      <c r="R321" s="117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17"/>
      <c r="Q322" s="118"/>
      <c r="R322" s="117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17"/>
      <c r="Q323" s="118"/>
      <c r="R323" s="117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17"/>
      <c r="Q324" s="118"/>
      <c r="R324" s="117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17"/>
      <c r="Q325" s="118"/>
      <c r="R325" s="117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17"/>
      <c r="Q326" s="118"/>
      <c r="R326" s="117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17"/>
      <c r="Q327" s="118"/>
      <c r="R327" s="117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17"/>
      <c r="Q328" s="118"/>
      <c r="R328" s="117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17"/>
      <c r="Q329" s="118"/>
      <c r="R329" s="117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03"/>
      <c r="R332" s="103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13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9"/>
      <c r="Q338" s="104"/>
      <c r="R338" s="109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39"/>
      <c r="Q339" s="140"/>
      <c r="R339" s="139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17"/>
      <c r="Q340" s="118"/>
      <c r="R340" s="117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17"/>
      <c r="Q341" s="118"/>
      <c r="R341" s="117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17"/>
      <c r="Q342" s="118"/>
      <c r="R342" s="117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17"/>
      <c r="Q343" s="118"/>
      <c r="R343" s="117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17"/>
      <c r="Q344" s="118"/>
      <c r="R344" s="117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17"/>
      <c r="Q345" s="118"/>
      <c r="R345" s="117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17"/>
      <c r="Q346" s="118"/>
      <c r="R346" s="117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17"/>
      <c r="Q347" s="118"/>
      <c r="R347" s="117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17"/>
      <c r="Q348" s="118"/>
      <c r="R348" s="117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17"/>
      <c r="Q349" s="118"/>
      <c r="R349" s="117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17"/>
      <c r="Q350" s="118"/>
      <c r="R350" s="117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17"/>
      <c r="Q351" s="118"/>
      <c r="R351" s="117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17"/>
      <c r="Q352" s="118"/>
      <c r="R352" s="117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17"/>
      <c r="Q353" s="118"/>
      <c r="R353" s="117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17"/>
      <c r="Q354" s="118"/>
      <c r="R354" s="117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17"/>
      <c r="Q355" s="118"/>
      <c r="R355" s="117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17"/>
      <c r="Q356" s="118"/>
      <c r="R356" s="117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17"/>
      <c r="Q357" s="118"/>
      <c r="R357" s="117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17"/>
      <c r="Q358" s="118"/>
      <c r="R358" s="117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17"/>
      <c r="Q359" s="118"/>
      <c r="R359" s="117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17"/>
      <c r="Q360" s="118"/>
      <c r="R360" s="117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17"/>
      <c r="Q361" s="118"/>
      <c r="R361" s="117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17"/>
      <c r="Q362" s="118"/>
      <c r="R362" s="117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17"/>
      <c r="Q363" s="118"/>
      <c r="R363" s="117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17"/>
      <c r="Q364" s="118"/>
      <c r="R364" s="117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17"/>
      <c r="Q365" s="118"/>
      <c r="R365" s="117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17"/>
      <c r="Q366" s="118"/>
      <c r="R366" s="117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17"/>
      <c r="Q367" s="118"/>
      <c r="R367" s="117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17"/>
      <c r="Q368" s="118"/>
      <c r="R368" s="117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17"/>
      <c r="Q369" s="118"/>
      <c r="R369" s="117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17"/>
      <c r="Q370" s="118"/>
      <c r="R370" s="117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17"/>
      <c r="Q371" s="118"/>
      <c r="R371" s="117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03"/>
      <c r="R374" s="103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13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9"/>
      <c r="Q380" s="104"/>
      <c r="R380" s="109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39"/>
      <c r="Q381" s="140"/>
      <c r="R381" s="139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17"/>
      <c r="Q382" s="118"/>
      <c r="R382" s="117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17"/>
      <c r="Q383" s="118"/>
      <c r="R383" s="117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17"/>
      <c r="Q384" s="118"/>
      <c r="R384" s="117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17"/>
      <c r="Q385" s="118"/>
      <c r="R385" s="117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17"/>
      <c r="Q386" s="118"/>
      <c r="R386" s="117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17"/>
      <c r="Q387" s="118"/>
      <c r="R387" s="117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17"/>
      <c r="Q388" s="118"/>
      <c r="R388" s="117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17"/>
      <c r="Q389" s="118"/>
      <c r="R389" s="117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17"/>
      <c r="Q390" s="118"/>
      <c r="R390" s="117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17"/>
      <c r="Q391" s="118"/>
      <c r="R391" s="117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17"/>
      <c r="Q392" s="118"/>
      <c r="R392" s="117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17"/>
      <c r="Q393" s="118"/>
      <c r="R393" s="117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17"/>
      <c r="Q394" s="118"/>
      <c r="R394" s="117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17"/>
      <c r="Q395" s="118"/>
      <c r="R395" s="117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17"/>
      <c r="Q396" s="118"/>
      <c r="R396" s="117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17"/>
      <c r="Q397" s="118"/>
      <c r="R397" s="117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17"/>
      <c r="Q398" s="118"/>
      <c r="R398" s="117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17"/>
      <c r="Q399" s="118"/>
      <c r="R399" s="117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17"/>
      <c r="Q400" s="118"/>
      <c r="R400" s="117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17"/>
      <c r="Q401" s="118"/>
      <c r="R401" s="117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17"/>
      <c r="Q402" s="118"/>
      <c r="R402" s="117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17"/>
      <c r="Q403" s="118"/>
      <c r="R403" s="117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17"/>
      <c r="Q404" s="118"/>
      <c r="R404" s="117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17"/>
      <c r="Q405" s="118"/>
      <c r="R405" s="117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17"/>
      <c r="Q406" s="118"/>
      <c r="R406" s="117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17"/>
      <c r="Q407" s="118"/>
      <c r="R407" s="117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17"/>
      <c r="Q408" s="118"/>
      <c r="R408" s="117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17"/>
      <c r="Q409" s="118"/>
      <c r="R409" s="117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17"/>
      <c r="Q410" s="118"/>
      <c r="R410" s="117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17"/>
      <c r="Q411" s="118"/>
      <c r="R411" s="117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17"/>
      <c r="Q412" s="118"/>
      <c r="R412" s="117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17"/>
      <c r="Q413" s="118"/>
      <c r="R413" s="117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03"/>
      <c r="R416" s="103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13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9"/>
      <c r="Q424" s="104"/>
      <c r="R424" s="109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39"/>
      <c r="Q425" s="140"/>
      <c r="R425" s="139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17"/>
      <c r="Q426" s="118"/>
      <c r="R426" s="117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17"/>
      <c r="Q427" s="118"/>
      <c r="R427" s="117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17"/>
      <c r="Q428" s="118"/>
      <c r="R428" s="117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17"/>
      <c r="Q429" s="118"/>
      <c r="R429" s="117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17"/>
      <c r="Q430" s="118"/>
      <c r="R430" s="117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17"/>
      <c r="Q431" s="118"/>
      <c r="R431" s="117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17"/>
      <c r="Q432" s="118"/>
      <c r="R432" s="117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17"/>
      <c r="Q433" s="118"/>
      <c r="R433" s="117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17"/>
      <c r="Q434" s="118"/>
      <c r="R434" s="117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17"/>
      <c r="Q435" s="118"/>
      <c r="R435" s="117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17"/>
      <c r="Q436" s="118"/>
      <c r="R436" s="117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17"/>
      <c r="Q437" s="118"/>
      <c r="R437" s="117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17"/>
      <c r="Q438" s="118"/>
      <c r="R438" s="117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17"/>
      <c r="Q439" s="118"/>
      <c r="R439" s="117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17"/>
      <c r="Q440" s="118"/>
      <c r="R440" s="117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17"/>
      <c r="Q441" s="118"/>
      <c r="R441" s="117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17"/>
      <c r="Q442" s="118"/>
      <c r="R442" s="117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17"/>
      <c r="Q443" s="118"/>
      <c r="R443" s="117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17"/>
      <c r="Q444" s="118"/>
      <c r="R444" s="117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17"/>
      <c r="Q445" s="118"/>
      <c r="R445" s="117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17"/>
      <c r="Q446" s="118"/>
      <c r="R446" s="117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17"/>
      <c r="Q447" s="118"/>
      <c r="R447" s="117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17"/>
      <c r="Q448" s="118"/>
      <c r="R448" s="117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17"/>
      <c r="Q449" s="118"/>
      <c r="R449" s="117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17"/>
      <c r="Q450" s="118"/>
      <c r="R450" s="117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17"/>
      <c r="Q451" s="118"/>
      <c r="R451" s="117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17"/>
      <c r="Q452" s="118"/>
      <c r="R452" s="117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17"/>
      <c r="Q453" s="118"/>
      <c r="R453" s="117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17"/>
      <c r="Q454" s="118"/>
      <c r="R454" s="117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17"/>
      <c r="Q455" s="118"/>
      <c r="R455" s="117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17"/>
      <c r="Q456" s="118"/>
      <c r="R456" s="117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17"/>
      <c r="Q457" s="118"/>
      <c r="R457" s="117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03"/>
      <c r="R460" s="103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13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9"/>
      <c r="Q466" s="104"/>
      <c r="R466" s="109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39"/>
      <c r="Q467" s="140"/>
      <c r="R467" s="139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17"/>
      <c r="Q468" s="118"/>
      <c r="R468" s="117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17"/>
      <c r="Q469" s="118"/>
      <c r="R469" s="117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17"/>
      <c r="Q470" s="118"/>
      <c r="R470" s="117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17"/>
      <c r="Q471" s="118"/>
      <c r="R471" s="117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17"/>
      <c r="Q472" s="118"/>
      <c r="R472" s="117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17"/>
      <c r="Q473" s="118"/>
      <c r="R473" s="117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17"/>
      <c r="Q474" s="118"/>
      <c r="R474" s="117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17"/>
      <c r="Q475" s="118"/>
      <c r="R475" s="117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17"/>
      <c r="Q476" s="118"/>
      <c r="R476" s="117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17"/>
      <c r="Q477" s="118"/>
      <c r="R477" s="117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17"/>
      <c r="Q478" s="118"/>
      <c r="R478" s="117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17"/>
      <c r="Q479" s="118"/>
      <c r="R479" s="117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17"/>
      <c r="Q480" s="118"/>
      <c r="R480" s="117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17"/>
      <c r="Q481" s="118"/>
      <c r="R481" s="117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17"/>
      <c r="Q482" s="118"/>
      <c r="R482" s="117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17"/>
      <c r="Q483" s="118"/>
      <c r="R483" s="117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17"/>
      <c r="Q484" s="118"/>
      <c r="R484" s="117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17"/>
      <c r="Q485" s="118"/>
      <c r="R485" s="117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17"/>
      <c r="Q486" s="118"/>
      <c r="R486" s="117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17"/>
      <c r="Q487" s="118"/>
      <c r="R487" s="117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17"/>
      <c r="Q488" s="118"/>
      <c r="R488" s="117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17"/>
      <c r="Q489" s="118"/>
      <c r="R489" s="117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17"/>
      <c r="Q490" s="118"/>
      <c r="R490" s="117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17"/>
      <c r="Q491" s="118"/>
      <c r="R491" s="117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17"/>
      <c r="Q492" s="118"/>
      <c r="R492" s="117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17"/>
      <c r="Q493" s="118"/>
      <c r="R493" s="117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17"/>
      <c r="Q494" s="118"/>
      <c r="R494" s="117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17"/>
      <c r="Q495" s="118"/>
      <c r="R495" s="117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17"/>
      <c r="Q496" s="118"/>
      <c r="R496" s="117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17"/>
      <c r="Q497" s="118"/>
      <c r="R497" s="117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17"/>
      <c r="Q498" s="118"/>
      <c r="R498" s="117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17"/>
      <c r="Q499" s="118"/>
      <c r="R499" s="117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03"/>
      <c r="R502" s="103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32" activeCellId="3" sqref="A1 E34 D40 D3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58</v>
      </c>
    </row>
    <row r="4" customFormat="false" ht="12.75" hidden="false" customHeight="false" outlineLevel="0" collapsed="false">
      <c r="A4" s="136"/>
      <c r="B4" s="188" t="s">
        <v>202</v>
      </c>
      <c r="D4" s="98"/>
    </row>
    <row r="5" customFormat="false" ht="12.75" hidden="false" customHeight="false" outlineLevel="0" collapsed="false">
      <c r="A5" s="75" t="s">
        <v>113</v>
      </c>
      <c r="B5" s="101" t="s">
        <v>114</v>
      </c>
      <c r="C5" s="101" t="s">
        <v>115</v>
      </c>
    </row>
    <row r="6" customFormat="false" ht="12.75" hidden="false" customHeight="false" outlineLevel="0" collapsed="false">
      <c r="A6" s="107" t="n">
        <v>1</v>
      </c>
      <c r="B6" s="108" t="n">
        <v>49839</v>
      </c>
      <c r="C6" s="108" t="n">
        <v>42521</v>
      </c>
      <c r="D6" s="120" t="n">
        <f aca="false">+C6-B6</f>
        <v>-7318</v>
      </c>
    </row>
    <row r="7" customFormat="false" ht="12.75" hidden="false" customHeight="false" outlineLevel="0" collapsed="false">
      <c r="A7" s="107" t="n">
        <v>2</v>
      </c>
      <c r="B7" s="108" t="n">
        <v>58661</v>
      </c>
      <c r="C7" s="108" t="n">
        <v>61095</v>
      </c>
      <c r="D7" s="120" t="n">
        <f aca="false">+C7-B7</f>
        <v>2434</v>
      </c>
    </row>
    <row r="8" customFormat="false" ht="12.75" hidden="false" customHeight="false" outlineLevel="0" collapsed="false">
      <c r="A8" s="107" t="n">
        <v>3</v>
      </c>
      <c r="B8" s="108" t="n">
        <v>57956</v>
      </c>
      <c r="C8" s="108" t="n">
        <v>59505</v>
      </c>
      <c r="D8" s="120" t="n">
        <f aca="false">+C8-B8</f>
        <v>1549</v>
      </c>
    </row>
    <row r="9" customFormat="false" ht="12.75" hidden="false" customHeight="false" outlineLevel="0" collapsed="false">
      <c r="A9" s="107" t="n">
        <v>4</v>
      </c>
      <c r="B9" s="108" t="n">
        <v>62170</v>
      </c>
      <c r="C9" s="108" t="n">
        <v>61574</v>
      </c>
      <c r="D9" s="120" t="n">
        <f aca="false">+C9-B9</f>
        <v>-596</v>
      </c>
    </row>
    <row r="10" customFormat="false" ht="12.75" hidden="false" customHeight="false" outlineLevel="0" collapsed="false">
      <c r="A10" s="107" t="n">
        <v>5</v>
      </c>
      <c r="B10" s="108" t="n">
        <v>63269</v>
      </c>
      <c r="C10" s="108" t="n">
        <v>58996</v>
      </c>
      <c r="D10" s="120" t="n">
        <f aca="false">+C10-B10</f>
        <v>-4273</v>
      </c>
    </row>
    <row r="11" customFormat="false" ht="12.75" hidden="false" customHeight="false" outlineLevel="0" collapsed="false">
      <c r="A11" s="107" t="n">
        <v>6</v>
      </c>
      <c r="B11" s="108" t="n">
        <v>62745</v>
      </c>
      <c r="C11" s="108" t="n">
        <v>62359</v>
      </c>
      <c r="D11" s="120" t="n">
        <f aca="false">+C11-B11</f>
        <v>-386</v>
      </c>
    </row>
    <row r="12" customFormat="false" ht="12.75" hidden="false" customHeight="false" outlineLevel="0" collapsed="false">
      <c r="A12" s="107" t="n">
        <v>7</v>
      </c>
      <c r="B12" s="108" t="n">
        <v>66886</v>
      </c>
      <c r="C12" s="108" t="n">
        <v>73126</v>
      </c>
      <c r="D12" s="120" t="n">
        <f aca="false">+C12-B12</f>
        <v>6240</v>
      </c>
    </row>
    <row r="13" customFormat="false" ht="12.75" hidden="false" customHeight="false" outlineLevel="0" collapsed="false">
      <c r="A13" s="107" t="n">
        <v>8</v>
      </c>
      <c r="B13" s="108" t="n">
        <v>66326</v>
      </c>
      <c r="C13" s="108" t="n">
        <v>65213</v>
      </c>
      <c r="D13" s="120" t="n">
        <f aca="false">+C13-B13</f>
        <v>-1113</v>
      </c>
    </row>
    <row r="14" customFormat="false" ht="12.75" hidden="false" customHeight="false" outlineLevel="0" collapsed="false">
      <c r="A14" s="107" t="n">
        <v>9</v>
      </c>
      <c r="B14" s="108" t="n">
        <v>63811</v>
      </c>
      <c r="C14" s="108" t="n">
        <v>63118</v>
      </c>
      <c r="D14" s="120" t="n">
        <f aca="false">+C14-B14</f>
        <v>-693</v>
      </c>
    </row>
    <row r="15" customFormat="false" ht="12.75" hidden="false" customHeight="false" outlineLevel="0" collapsed="false">
      <c r="A15" s="107" t="n">
        <v>10</v>
      </c>
      <c r="B15" s="108" t="n">
        <v>60111</v>
      </c>
      <c r="C15" s="108" t="n">
        <v>59591</v>
      </c>
      <c r="D15" s="120" t="n">
        <f aca="false">+C15-B15</f>
        <v>-520</v>
      </c>
    </row>
    <row r="16" customFormat="false" ht="12.75" hidden="false" customHeight="false" outlineLevel="0" collapsed="false">
      <c r="A16" s="107" t="n">
        <v>11</v>
      </c>
      <c r="B16" s="108" t="n">
        <v>64319</v>
      </c>
      <c r="C16" s="108" t="n">
        <v>64464</v>
      </c>
      <c r="D16" s="120" t="n">
        <f aca="false">+C16-B16</f>
        <v>145</v>
      </c>
    </row>
    <row r="17" customFormat="false" ht="12.75" hidden="false" customHeight="false" outlineLevel="0" collapsed="false">
      <c r="A17" s="107" t="n">
        <v>12</v>
      </c>
      <c r="B17" s="108" t="n">
        <v>64945</v>
      </c>
      <c r="C17" s="108" t="n">
        <v>63665</v>
      </c>
      <c r="D17" s="120" t="n">
        <f aca="false">+C17-B17</f>
        <v>-1280</v>
      </c>
    </row>
    <row r="18" customFormat="false" ht="12.75" hidden="false" customHeight="false" outlineLevel="0" collapsed="false">
      <c r="A18" s="107" t="n">
        <v>13</v>
      </c>
      <c r="B18" s="108" t="n">
        <v>64939</v>
      </c>
      <c r="C18" s="108" t="n">
        <v>64464</v>
      </c>
      <c r="D18" s="120" t="n">
        <f aca="false">+C18-B18</f>
        <v>-475</v>
      </c>
    </row>
    <row r="19" customFormat="false" ht="12.75" hidden="false" customHeight="false" outlineLevel="0" collapsed="false">
      <c r="A19" s="107" t="n">
        <v>14</v>
      </c>
      <c r="B19" s="108" t="n">
        <v>63062</v>
      </c>
      <c r="C19" s="108" t="n">
        <v>63411</v>
      </c>
      <c r="D19" s="120" t="n">
        <f aca="false">+C19-B19</f>
        <v>349</v>
      </c>
    </row>
    <row r="20" customFormat="false" ht="12.75" hidden="false" customHeight="false" outlineLevel="0" collapsed="false">
      <c r="A20" s="107" t="n">
        <v>15</v>
      </c>
      <c r="B20" s="108" t="n">
        <v>56053</v>
      </c>
      <c r="C20" s="108" t="n">
        <v>59448</v>
      </c>
      <c r="D20" s="120" t="n">
        <f aca="false">+C20-B20</f>
        <v>3395</v>
      </c>
    </row>
    <row r="21" customFormat="false" ht="12.75" hidden="false" customHeight="false" outlineLevel="0" collapsed="false">
      <c r="A21" s="107" t="n">
        <v>16</v>
      </c>
      <c r="B21" s="108" t="n">
        <v>62374</v>
      </c>
      <c r="C21" s="108" t="n">
        <v>63447</v>
      </c>
      <c r="D21" s="120" t="n">
        <f aca="false">+C21-B21</f>
        <v>1073</v>
      </c>
    </row>
    <row r="22" customFormat="false" ht="12.75" hidden="false" customHeight="false" outlineLevel="0" collapsed="false">
      <c r="A22" s="107" t="n">
        <v>17</v>
      </c>
      <c r="B22" s="108" t="n">
        <v>61677</v>
      </c>
      <c r="C22" s="108" t="n">
        <v>61277</v>
      </c>
      <c r="D22" s="120" t="n">
        <f aca="false">+C22-B22</f>
        <v>-400</v>
      </c>
    </row>
    <row r="23" customFormat="false" ht="12.75" hidden="false" customHeight="false" outlineLevel="0" collapsed="false">
      <c r="A23" s="107" t="n">
        <v>18</v>
      </c>
      <c r="B23" s="108" t="n">
        <v>60811</v>
      </c>
      <c r="C23" s="108" t="n">
        <v>60711</v>
      </c>
      <c r="D23" s="120" t="n">
        <f aca="false">+C23-B23</f>
        <v>-100</v>
      </c>
    </row>
    <row r="24" customFormat="false" ht="12.75" hidden="false" customHeight="false" outlineLevel="0" collapsed="false">
      <c r="A24" s="107" t="n">
        <v>19</v>
      </c>
      <c r="B24" s="108" t="n">
        <v>60896</v>
      </c>
      <c r="C24" s="108" t="n">
        <v>60711</v>
      </c>
      <c r="D24" s="120" t="n">
        <f aca="false">+C24-B24</f>
        <v>-185</v>
      </c>
    </row>
    <row r="25" customFormat="false" ht="12.75" hidden="false" customHeight="false" outlineLevel="0" collapsed="false">
      <c r="A25" s="107" t="n">
        <v>20</v>
      </c>
      <c r="B25" s="108" t="n">
        <v>60946</v>
      </c>
      <c r="C25" s="108" t="n">
        <v>60636</v>
      </c>
      <c r="D25" s="120" t="n">
        <f aca="false">+C25-B25</f>
        <v>-310</v>
      </c>
    </row>
    <row r="26" customFormat="false" ht="12.75" hidden="false" customHeight="false" outlineLevel="0" collapsed="false">
      <c r="A26" s="107" t="n">
        <v>21</v>
      </c>
      <c r="B26" s="108" t="n">
        <v>61474</v>
      </c>
      <c r="C26" s="108" t="n">
        <v>63821</v>
      </c>
      <c r="D26" s="120" t="n">
        <f aca="false">+C26-B26</f>
        <v>2347</v>
      </c>
    </row>
    <row r="27" customFormat="false" ht="12.75" hidden="false" customHeight="false" outlineLevel="0" collapsed="false">
      <c r="A27" s="107" t="n">
        <v>22</v>
      </c>
      <c r="B27" s="108" t="n">
        <v>48657</v>
      </c>
      <c r="C27" s="108" t="n">
        <v>48609</v>
      </c>
      <c r="D27" s="120" t="n">
        <f aca="false">+C27-B27</f>
        <v>-48</v>
      </c>
    </row>
    <row r="28" customFormat="false" ht="12.75" hidden="false" customHeight="false" outlineLevel="0" collapsed="false">
      <c r="A28" s="107" t="n">
        <v>23</v>
      </c>
      <c r="B28" s="108" t="n">
        <v>59613</v>
      </c>
      <c r="C28" s="108" t="n">
        <v>60860</v>
      </c>
      <c r="D28" s="120" t="n">
        <f aca="false">+C28-B28</f>
        <v>1247</v>
      </c>
    </row>
    <row r="29" customFormat="false" ht="12.75" hidden="false" customHeight="false" outlineLevel="0" collapsed="false">
      <c r="A29" s="107" t="n">
        <v>24</v>
      </c>
      <c r="B29" s="108" t="n">
        <v>63878</v>
      </c>
      <c r="C29" s="108" t="n">
        <v>65031</v>
      </c>
      <c r="D29" s="120" t="n">
        <f aca="false">+C29-B29</f>
        <v>1153</v>
      </c>
    </row>
    <row r="30" customFormat="false" ht="12.75" hidden="false" customHeight="false" outlineLevel="0" collapsed="false">
      <c r="A30" s="107" t="n">
        <v>25</v>
      </c>
      <c r="B30" s="108" t="n">
        <v>50648</v>
      </c>
      <c r="C30" s="108" t="n">
        <v>51858</v>
      </c>
      <c r="D30" s="120" t="n">
        <f aca="false">+C30-B30</f>
        <v>1210</v>
      </c>
    </row>
    <row r="31" customFormat="false" ht="12.75" hidden="false" customHeight="false" outlineLevel="0" collapsed="false">
      <c r="A31" s="107" t="n">
        <v>26</v>
      </c>
      <c r="B31" s="108" t="n">
        <v>52883</v>
      </c>
      <c r="C31" s="108" t="n">
        <v>52171</v>
      </c>
      <c r="D31" s="120" t="n">
        <f aca="false">+C31-B31</f>
        <v>-712</v>
      </c>
    </row>
    <row r="32" customFormat="false" ht="12.75" hidden="false" customHeight="false" outlineLevel="0" collapsed="false">
      <c r="A32" s="107" t="n">
        <v>27</v>
      </c>
      <c r="B32" s="108" t="n">
        <v>53302</v>
      </c>
      <c r="C32" s="108" t="n">
        <v>52307</v>
      </c>
      <c r="D32" s="120" t="n">
        <f aca="false">+C32-B32</f>
        <v>-995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1622251</v>
      </c>
      <c r="C37" s="108" t="n">
        <f aca="false">SUM(C6:C36)</f>
        <v>1623989</v>
      </c>
      <c r="D37" s="120" t="n">
        <f aca="false">SUM(D6:D36)</f>
        <v>1738</v>
      </c>
    </row>
    <row r="38" customFormat="false" ht="12.75" hidden="false" customHeight="false" outlineLevel="0" collapsed="false">
      <c r="A38" s="134"/>
      <c r="C38" s="30"/>
      <c r="D38" s="408" t="n">
        <f aca="false">+summary!H5</f>
        <v>2.9</v>
      </c>
    </row>
    <row r="39" customFormat="false" ht="12.75" hidden="false" customHeight="false" outlineLevel="0" collapsed="false">
      <c r="D39" s="132" t="n">
        <f aca="false">+D38*D37</f>
        <v>5040.2</v>
      </c>
    </row>
    <row r="40" customFormat="false" ht="12.75" hidden="false" customHeight="false" outlineLevel="0" collapsed="false">
      <c r="A40" s="152" t="n">
        <v>37103</v>
      </c>
      <c r="C40" s="79"/>
      <c r="D40" s="407" t="n">
        <v>0</v>
      </c>
    </row>
    <row r="41" customFormat="false" ht="12.75" hidden="false" customHeight="false" outlineLevel="0" collapsed="false">
      <c r="A41" s="152" t="n">
        <v>37130</v>
      </c>
      <c r="C41" s="151"/>
      <c r="D41" s="132" t="n">
        <f aca="false">+D40+D39</f>
        <v>5040.2</v>
      </c>
    </row>
    <row r="45" customFormat="false" ht="12.75" hidden="false" customHeight="false" outlineLevel="0" collapsed="false">
      <c r="A45" s="9" t="s">
        <v>125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37103</v>
      </c>
      <c r="B46" s="9"/>
      <c r="C46" s="9"/>
      <c r="D46" s="301" t="n">
        <v>53363</v>
      </c>
    </row>
    <row r="47" customFormat="false" ht="12.75" hidden="false" customHeight="false" outlineLevel="0" collapsed="false">
      <c r="A47" s="124" t="n">
        <f aca="false">+A41</f>
        <v>37130</v>
      </c>
      <c r="B47" s="9"/>
      <c r="C47" s="9"/>
      <c r="D47" s="37" t="n">
        <f aca="false">+D37</f>
        <v>1738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55101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3" activeCellId="3" sqref="A1 A1 D40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16"/>
      <c r="B3" s="136" t="s">
        <v>26</v>
      </c>
      <c r="C3" s="282"/>
      <c r="D3" s="282"/>
      <c r="E3" s="282"/>
    </row>
    <row r="4" customFormat="false" ht="12.75" hidden="false" customHeight="false" outlineLevel="0" collapsed="false">
      <c r="A4" s="136"/>
      <c r="B4" s="410" t="s">
        <v>203</v>
      </c>
      <c r="C4" s="282"/>
      <c r="D4" s="136"/>
      <c r="E4" s="282"/>
    </row>
    <row r="5" customFormat="false" ht="12.75" hidden="false" customHeight="false" outlineLevel="0" collapsed="false">
      <c r="A5" s="75" t="s">
        <v>113</v>
      </c>
      <c r="B5" s="101" t="s">
        <v>114</v>
      </c>
      <c r="C5" s="101" t="s">
        <v>115</v>
      </c>
    </row>
    <row r="6" customFormat="false" ht="12.75" hidden="false" customHeight="false" outlineLevel="0" collapsed="false">
      <c r="A6" s="107" t="n">
        <v>1</v>
      </c>
      <c r="B6" s="108" t="n">
        <v>-2001</v>
      </c>
      <c r="C6" s="108" t="n">
        <v>-2139</v>
      </c>
      <c r="D6" s="120" t="n">
        <f aca="false">+C6-B6</f>
        <v>-138</v>
      </c>
    </row>
    <row r="7" customFormat="false" ht="12.75" hidden="false" customHeight="false" outlineLevel="0" collapsed="false">
      <c r="A7" s="107" t="n">
        <v>2</v>
      </c>
      <c r="B7" s="108" t="n">
        <v>-79</v>
      </c>
      <c r="C7" s="108" t="n">
        <v>-2139</v>
      </c>
      <c r="D7" s="120" t="n">
        <f aca="false">+C7-B7</f>
        <v>-2060</v>
      </c>
    </row>
    <row r="8" customFormat="false" ht="12.75" hidden="false" customHeight="false" outlineLevel="0" collapsed="false">
      <c r="A8" s="107" t="n">
        <v>3</v>
      </c>
      <c r="B8" s="108" t="n">
        <v>-553</v>
      </c>
      <c r="C8" s="108" t="n">
        <v>-2453</v>
      </c>
      <c r="D8" s="120" t="n">
        <f aca="false">+C8-B8</f>
        <v>-1900</v>
      </c>
    </row>
    <row r="9" customFormat="false" ht="12.75" hidden="false" customHeight="false" outlineLevel="0" collapsed="false">
      <c r="A9" s="107" t="n">
        <v>4</v>
      </c>
      <c r="B9" s="108" t="n">
        <v>-1052</v>
      </c>
      <c r="C9" s="108" t="n">
        <v>-2453</v>
      </c>
      <c r="D9" s="120" t="n">
        <f aca="false">+C9-B9</f>
        <v>-1401</v>
      </c>
    </row>
    <row r="10" customFormat="false" ht="12.75" hidden="false" customHeight="false" outlineLevel="0" collapsed="false">
      <c r="A10" s="107" t="n">
        <v>5</v>
      </c>
      <c r="B10" s="108" t="n">
        <v>-1743</v>
      </c>
      <c r="C10" s="108" t="n">
        <v>-2453</v>
      </c>
      <c r="D10" s="120" t="n">
        <f aca="false">+C10-B10</f>
        <v>-710</v>
      </c>
    </row>
    <row r="11" customFormat="false" ht="12.75" hidden="false" customHeight="false" outlineLevel="0" collapsed="false">
      <c r="A11" s="107" t="n">
        <v>6</v>
      </c>
      <c r="B11" s="108" t="n">
        <v>-1725</v>
      </c>
      <c r="C11" s="108" t="n">
        <v>-2453</v>
      </c>
      <c r="D11" s="120" t="n">
        <f aca="false">+C11-B11</f>
        <v>-728</v>
      </c>
    </row>
    <row r="12" customFormat="false" ht="12.75" hidden="false" customHeight="false" outlineLevel="0" collapsed="false">
      <c r="A12" s="107" t="n">
        <v>7</v>
      </c>
      <c r="B12" s="108" t="n">
        <v>-1957</v>
      </c>
      <c r="C12" s="108" t="n">
        <v>-2139</v>
      </c>
      <c r="D12" s="120" t="n">
        <f aca="false">+C12-B12</f>
        <v>-182</v>
      </c>
    </row>
    <row r="13" customFormat="false" ht="12.75" hidden="false" customHeight="false" outlineLevel="0" collapsed="false">
      <c r="A13" s="107" t="n">
        <v>8</v>
      </c>
      <c r="B13" s="108" t="n">
        <v>-1968</v>
      </c>
      <c r="C13" s="108" t="n">
        <v>-2139</v>
      </c>
      <c r="D13" s="120" t="n">
        <f aca="false">+C13-B13</f>
        <v>-171</v>
      </c>
      <c r="H13" s="173"/>
      <c r="I13" s="5"/>
      <c r="J13" s="5"/>
      <c r="K13" s="174"/>
      <c r="L13" s="175" t="s">
        <v>124</v>
      </c>
      <c r="M13" s="174"/>
    </row>
    <row r="14" customFormat="false" ht="12.75" hidden="false" customHeight="false" outlineLevel="0" collapsed="false">
      <c r="A14" s="107" t="n">
        <v>9</v>
      </c>
      <c r="B14" s="108" t="n">
        <v>-76</v>
      </c>
      <c r="C14" s="108" t="n">
        <v>-711</v>
      </c>
      <c r="D14" s="120" t="n">
        <f aca="false">+C14-B14</f>
        <v>-635</v>
      </c>
      <c r="H14" s="173" t="s">
        <v>116</v>
      </c>
      <c r="I14" s="176" t="s">
        <v>114</v>
      </c>
      <c r="J14" s="176" t="s">
        <v>115</v>
      </c>
      <c r="K14" s="177" t="s">
        <v>117</v>
      </c>
      <c r="L14" s="175" t="s">
        <v>118</v>
      </c>
      <c r="M14" s="174" t="s">
        <v>119</v>
      </c>
    </row>
    <row r="15" customFormat="false" ht="12.75" hidden="false" customHeight="false" outlineLevel="0" collapsed="false">
      <c r="A15" s="107" t="n">
        <v>10</v>
      </c>
      <c r="B15" s="108" t="n">
        <v>-800</v>
      </c>
      <c r="C15" s="108" t="n">
        <v>-2139</v>
      </c>
      <c r="D15" s="120" t="n">
        <f aca="false">+C15-B15</f>
        <v>-1339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7" t="n">
        <v>11</v>
      </c>
      <c r="B16" s="108" t="n">
        <v>-1249</v>
      </c>
      <c r="C16" s="108" t="n">
        <v>-2139</v>
      </c>
      <c r="D16" s="120" t="n">
        <f aca="false">+C16-B16</f>
        <v>-890</v>
      </c>
      <c r="H16" s="173" t="n">
        <v>36892</v>
      </c>
      <c r="I16" s="128" t="n">
        <v>-50582</v>
      </c>
      <c r="J16" s="128" t="n">
        <v>-68700</v>
      </c>
      <c r="K16" s="128" t="n">
        <f aca="false">+J16-I16</f>
        <v>-18118</v>
      </c>
      <c r="L16" s="175" t="n">
        <v>8.21</v>
      </c>
      <c r="M16" s="178" t="n">
        <f aca="false">+L16*K16</f>
        <v>-148748.78</v>
      </c>
    </row>
    <row r="17" customFormat="false" ht="12.75" hidden="false" customHeight="false" outlineLevel="0" collapsed="false">
      <c r="A17" s="107" t="n">
        <v>12</v>
      </c>
      <c r="B17" s="108" t="n">
        <v>-1989</v>
      </c>
      <c r="C17" s="108" t="n">
        <v>-2139</v>
      </c>
      <c r="D17" s="120" t="n">
        <f aca="false">+C17-B17</f>
        <v>-150</v>
      </c>
      <c r="H17" s="173" t="n">
        <v>36923</v>
      </c>
      <c r="I17" s="128" t="n">
        <v>-54068</v>
      </c>
      <c r="J17" s="128" t="n">
        <v>-70278</v>
      </c>
      <c r="K17" s="128" t="n">
        <f aca="false">+J17-I17</f>
        <v>-16210</v>
      </c>
      <c r="L17" s="175" t="n">
        <v>5.62</v>
      </c>
      <c r="M17" s="178" t="n">
        <f aca="false">+L17*K17</f>
        <v>-91100.2</v>
      </c>
    </row>
    <row r="18" customFormat="false" ht="12.75" hidden="false" customHeight="false" outlineLevel="0" collapsed="false">
      <c r="A18" s="107" t="n">
        <v>13</v>
      </c>
      <c r="B18" s="108" t="n">
        <v>-1956</v>
      </c>
      <c r="C18" s="108" t="n">
        <v>-2139</v>
      </c>
      <c r="D18" s="120" t="n">
        <f aca="false">+C18-B18</f>
        <v>-183</v>
      </c>
      <c r="H18" s="173" t="n">
        <v>36951</v>
      </c>
      <c r="I18" s="128" t="n">
        <v>-58719</v>
      </c>
      <c r="J18" s="128" t="n">
        <v>-82564</v>
      </c>
      <c r="K18" s="128" t="n">
        <f aca="false">+J18-I18</f>
        <v>-23845</v>
      </c>
      <c r="L18" s="175" t="n">
        <v>4.98</v>
      </c>
      <c r="M18" s="178" t="n">
        <f aca="false">+L18*K18</f>
        <v>-118748.1</v>
      </c>
    </row>
    <row r="19" customFormat="false" ht="12.75" hidden="false" customHeight="false" outlineLevel="0" collapsed="false">
      <c r="A19" s="107" t="n">
        <v>14</v>
      </c>
      <c r="B19" s="108" t="n">
        <v>-1952</v>
      </c>
      <c r="C19" s="108" t="n">
        <v>-2139</v>
      </c>
      <c r="D19" s="120" t="n">
        <f aca="false">+C19-B19</f>
        <v>-187</v>
      </c>
      <c r="H19" s="173" t="n">
        <v>36982</v>
      </c>
      <c r="I19" s="128" t="n">
        <v>-52309</v>
      </c>
      <c r="J19" s="128" t="n">
        <v>-39370</v>
      </c>
      <c r="K19" s="128" t="n">
        <f aca="false">+J19-I19</f>
        <v>12939</v>
      </c>
      <c r="L19" s="175" t="n">
        <v>4.87</v>
      </c>
      <c r="M19" s="178" t="n">
        <f aca="false">+L19*K19</f>
        <v>63012.93</v>
      </c>
      <c r="O19" s="40"/>
    </row>
    <row r="20" customFormat="false" ht="12.75" hidden="false" customHeight="false" outlineLevel="0" collapsed="false">
      <c r="A20" s="107" t="n">
        <v>15</v>
      </c>
      <c r="B20" s="108" t="n">
        <v>-1924</v>
      </c>
      <c r="C20" s="108" t="n">
        <v>-2139</v>
      </c>
      <c r="D20" s="120" t="n">
        <f aca="false">+C20-B20</f>
        <v>-215</v>
      </c>
      <c r="H20" s="173" t="n">
        <v>37012</v>
      </c>
      <c r="I20" s="128" t="n">
        <v>-57841</v>
      </c>
      <c r="J20" s="128" t="n">
        <v>-49325</v>
      </c>
      <c r="K20" s="128" t="n">
        <f aca="false">+J20-I20</f>
        <v>8516</v>
      </c>
      <c r="L20" s="175" t="n">
        <v>3.82</v>
      </c>
      <c r="M20" s="178" t="n">
        <f aca="false">+L20*K20</f>
        <v>32531.12</v>
      </c>
    </row>
    <row r="21" customFormat="false" ht="12.75" hidden="false" customHeight="false" outlineLevel="0" collapsed="false">
      <c r="A21" s="107" t="n">
        <v>16</v>
      </c>
      <c r="B21" s="108" t="n">
        <v>-530</v>
      </c>
      <c r="C21" s="108" t="n">
        <v>-2250</v>
      </c>
      <c r="D21" s="120" t="n">
        <f aca="false">+C21-B21</f>
        <v>-1720</v>
      </c>
      <c r="H21" s="173" t="n">
        <v>37043</v>
      </c>
      <c r="I21" s="128" t="n">
        <v>-50325</v>
      </c>
      <c r="J21" s="128" t="n">
        <v>-65214</v>
      </c>
      <c r="K21" s="128" t="n">
        <f aca="false">+J21-I21</f>
        <v>-14889</v>
      </c>
      <c r="L21" s="175" t="n">
        <v>3.2</v>
      </c>
      <c r="M21" s="178" t="n">
        <f aca="false">+L21*K21</f>
        <v>-47644.8</v>
      </c>
    </row>
    <row r="22" customFormat="false" ht="12.75" hidden="false" customHeight="false" outlineLevel="0" collapsed="false">
      <c r="A22" s="107" t="n">
        <v>17</v>
      </c>
      <c r="B22" s="108" t="n">
        <v>-528</v>
      </c>
      <c r="C22" s="108" t="n">
        <v>-2139</v>
      </c>
      <c r="D22" s="120" t="n">
        <f aca="false">+C22-B22</f>
        <v>-1611</v>
      </c>
      <c r="H22" s="173" t="n">
        <v>37073</v>
      </c>
      <c r="I22" s="128" t="n">
        <v>-43678</v>
      </c>
      <c r="J22" s="128" t="n">
        <v>-59252</v>
      </c>
      <c r="K22" s="128" t="n">
        <f aca="false">+J22-I22</f>
        <v>-15574</v>
      </c>
      <c r="L22" s="175" t="n">
        <v>2.77</v>
      </c>
      <c r="M22" s="179" t="n">
        <f aca="false">+L22*K22</f>
        <v>-43139.98</v>
      </c>
    </row>
    <row r="23" customFormat="false" ht="13.5" hidden="false" customHeight="false" outlineLevel="0" collapsed="false">
      <c r="A23" s="107" t="n">
        <v>18</v>
      </c>
      <c r="B23" s="108" t="n">
        <v>-1187</v>
      </c>
      <c r="C23" s="108" t="n">
        <v>-2139</v>
      </c>
      <c r="D23" s="120" t="n">
        <f aca="false">+C23-B23</f>
        <v>-952</v>
      </c>
      <c r="H23" s="5"/>
      <c r="I23" s="128"/>
      <c r="J23" s="128"/>
      <c r="K23" s="128"/>
      <c r="L23" s="180"/>
      <c r="M23" s="181" t="n">
        <f aca="false">SUM(M16:M22)</f>
        <v>-353837.81</v>
      </c>
      <c r="O23" s="40"/>
    </row>
    <row r="24" customFormat="false" ht="13.5" hidden="false" customHeight="false" outlineLevel="0" collapsed="false">
      <c r="A24" s="107" t="n">
        <v>19</v>
      </c>
      <c r="B24" s="108" t="n">
        <v>-1956</v>
      </c>
      <c r="C24" s="108" t="n">
        <v>-1979</v>
      </c>
      <c r="D24" s="120" t="n">
        <f aca="false">+C24-B24</f>
        <v>-23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7" t="n">
        <v>20</v>
      </c>
      <c r="B25" s="108" t="n">
        <v>-2023</v>
      </c>
      <c r="C25" s="108" t="n">
        <v>-625</v>
      </c>
      <c r="D25" s="120" t="n">
        <f aca="false">+C25-B25</f>
        <v>1398</v>
      </c>
    </row>
    <row r="26" customFormat="false" ht="12.75" hidden="false" customHeight="false" outlineLevel="0" collapsed="false">
      <c r="A26" s="107" t="n">
        <v>21</v>
      </c>
      <c r="B26" s="108" t="n">
        <v>-1961</v>
      </c>
      <c r="C26" s="108" t="n">
        <v>-2139</v>
      </c>
      <c r="D26" s="120" t="n">
        <f aca="false">+C26-B26</f>
        <v>-178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7" t="n">
        <v>22</v>
      </c>
      <c r="B27" s="108" t="n">
        <v>-1992</v>
      </c>
      <c r="C27" s="108" t="n">
        <v>-2139</v>
      </c>
      <c r="D27" s="120" t="n">
        <f aca="false">+C27-B27</f>
        <v>-147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7" t="n">
        <v>23</v>
      </c>
      <c r="B28" s="108" t="n">
        <v>-78</v>
      </c>
      <c r="C28" s="108" t="n">
        <v>-2139</v>
      </c>
      <c r="D28" s="120" t="n">
        <f aca="false">+C28-B28</f>
        <v>-2061</v>
      </c>
    </row>
    <row r="29" customFormat="false" ht="12.75" hidden="false" customHeight="false" outlineLevel="0" collapsed="false">
      <c r="A29" s="107" t="n">
        <v>24</v>
      </c>
      <c r="B29" s="108" t="n">
        <v>-566</v>
      </c>
      <c r="C29" s="108" t="n">
        <v>-714</v>
      </c>
      <c r="D29" s="120" t="n">
        <f aca="false">+C29-B29</f>
        <v>-148</v>
      </c>
    </row>
    <row r="30" customFormat="false" ht="12.75" hidden="false" customHeight="false" outlineLevel="0" collapsed="false">
      <c r="A30" s="107" t="n">
        <v>25</v>
      </c>
      <c r="B30" s="108" t="n">
        <v>-1350</v>
      </c>
      <c r="C30" s="108" t="n">
        <v>-714</v>
      </c>
      <c r="D30" s="120" t="n">
        <f aca="false">+C30-B30</f>
        <v>636</v>
      </c>
    </row>
    <row r="31" customFormat="false" ht="12.75" hidden="false" customHeight="false" outlineLevel="0" collapsed="false">
      <c r="A31" s="107" t="n">
        <v>26</v>
      </c>
      <c r="B31" s="108" t="n">
        <v>-2060</v>
      </c>
      <c r="C31" s="108" t="n">
        <v>-714</v>
      </c>
      <c r="D31" s="120" t="n">
        <f aca="false">+C31-B31</f>
        <v>1346</v>
      </c>
    </row>
    <row r="32" customFormat="false" ht="12.75" hidden="false" customHeight="false" outlineLevel="0" collapsed="false">
      <c r="A32" s="107" t="n">
        <v>27</v>
      </c>
      <c r="B32" s="108" t="n">
        <v>-2032</v>
      </c>
      <c r="C32" s="108" t="n">
        <v>-714</v>
      </c>
      <c r="D32" s="120" t="n">
        <f aca="false">+C32-B32</f>
        <v>1318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-37287</v>
      </c>
      <c r="C37" s="108" t="n">
        <f aca="false">SUM(C6:C36)</f>
        <v>-50318</v>
      </c>
      <c r="D37" s="120" t="n">
        <f aca="false">SUM(D6:D36)</f>
        <v>-13031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2.81</v>
      </c>
    </row>
    <row r="39" customFormat="false" ht="12.75" hidden="false" customHeight="false" outlineLevel="0" collapsed="false">
      <c r="D39" s="132" t="n">
        <f aca="false">+D38*D37</f>
        <v>-36617.11</v>
      </c>
    </row>
    <row r="40" customFormat="false" ht="12.75" hidden="false" customHeight="false" outlineLevel="0" collapsed="false">
      <c r="A40" s="152" t="n">
        <v>37103</v>
      </c>
      <c r="C40" s="79"/>
      <c r="D40" s="183" t="n">
        <v>-394244.14</v>
      </c>
    </row>
    <row r="41" customFormat="false" ht="12.75" hidden="false" customHeight="false" outlineLevel="0" collapsed="false">
      <c r="A41" s="152" t="n">
        <v>37130</v>
      </c>
      <c r="C41" s="151"/>
      <c r="D41" s="132" t="n">
        <f aca="false">+D40+D39</f>
        <v>-430861.25</v>
      </c>
    </row>
    <row r="47" customFormat="false" ht="12.75" hidden="false" customHeight="false" outlineLevel="0" collapsed="false">
      <c r="A47" s="9" t="s">
        <v>125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+A40</f>
        <v>37103</v>
      </c>
      <c r="B48" s="9"/>
      <c r="C48" s="9"/>
      <c r="D48" s="301" t="n">
        <v>-68282</v>
      </c>
    </row>
    <row r="49" customFormat="false" ht="12.75" hidden="false" customHeight="false" outlineLevel="0" collapsed="false">
      <c r="A49" s="124" t="n">
        <f aca="false">+A41</f>
        <v>37130</v>
      </c>
      <c r="B49" s="9"/>
      <c r="C49" s="9"/>
      <c r="D49" s="37" t="n">
        <f aca="false">+D37</f>
        <v>-13031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-81313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3" activeCellId="3" sqref="A1 A42 A1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16"/>
      <c r="B3" s="136" t="s">
        <v>24</v>
      </c>
      <c r="C3" s="282"/>
      <c r="D3" s="282"/>
    </row>
    <row r="4" customFormat="false" ht="12.75" hidden="false" customHeight="false" outlineLevel="0" collapsed="false">
      <c r="A4" s="136"/>
      <c r="B4" s="410" t="s">
        <v>204</v>
      </c>
      <c r="C4" s="282"/>
      <c r="D4" s="136"/>
    </row>
    <row r="5" customFormat="false" ht="12.75" hidden="false" customHeight="false" outlineLevel="0" collapsed="false">
      <c r="A5" s="75" t="s">
        <v>113</v>
      </c>
      <c r="B5" s="101" t="s">
        <v>114</v>
      </c>
      <c r="C5" s="101" t="s">
        <v>115</v>
      </c>
    </row>
    <row r="6" customFormat="false" ht="12.75" hidden="false" customHeight="false" outlineLevel="0" collapsed="false">
      <c r="A6" s="107" t="n">
        <v>1</v>
      </c>
      <c r="B6" s="108"/>
      <c r="C6" s="108"/>
      <c r="D6" s="120" t="n">
        <f aca="false">+C6-B6</f>
        <v>0</v>
      </c>
    </row>
    <row r="7" customFormat="false" ht="12.75" hidden="false" customHeight="false" outlineLevel="0" collapsed="false">
      <c r="A7" s="107" t="n">
        <v>2</v>
      </c>
      <c r="B7" s="108" t="n">
        <v>-4125</v>
      </c>
      <c r="C7" s="108"/>
      <c r="D7" s="120" t="n">
        <f aca="false">+C7-B7</f>
        <v>4125</v>
      </c>
    </row>
    <row r="8" customFormat="false" ht="12.75" hidden="false" customHeight="false" outlineLevel="0" collapsed="false">
      <c r="A8" s="107" t="n">
        <v>3</v>
      </c>
      <c r="B8" s="108"/>
      <c r="C8" s="108"/>
      <c r="D8" s="120" t="n">
        <f aca="false">+C8-B8</f>
        <v>0</v>
      </c>
    </row>
    <row r="9" customFormat="false" ht="12.75" hidden="false" customHeight="false" outlineLevel="0" collapsed="false">
      <c r="A9" s="107" t="n">
        <v>4</v>
      </c>
      <c r="B9" s="108" t="n">
        <v>-24674</v>
      </c>
      <c r="C9" s="108"/>
      <c r="D9" s="120" t="n">
        <f aca="false">+C9-B9</f>
        <v>24674</v>
      </c>
    </row>
    <row r="10" customFormat="false" ht="12.75" hidden="false" customHeight="false" outlineLevel="0" collapsed="false">
      <c r="A10" s="107" t="n">
        <v>5</v>
      </c>
      <c r="B10" s="108" t="n">
        <v>-62427</v>
      </c>
      <c r="C10" s="108" t="n">
        <v>-29082</v>
      </c>
      <c r="D10" s="120" t="n">
        <f aca="false">+C10-B10</f>
        <v>33345</v>
      </c>
    </row>
    <row r="11" customFormat="false" ht="12.75" hidden="false" customHeight="false" outlineLevel="0" collapsed="false">
      <c r="A11" s="107" t="n">
        <v>6</v>
      </c>
      <c r="B11" s="108" t="n">
        <v>-88065</v>
      </c>
      <c r="C11" s="108" t="n">
        <v>-70000</v>
      </c>
      <c r="D11" s="120" t="n">
        <f aca="false">+C11-B11</f>
        <v>18065</v>
      </c>
    </row>
    <row r="12" customFormat="false" ht="12.75" hidden="false" customHeight="false" outlineLevel="0" collapsed="false">
      <c r="A12" s="107" t="n">
        <v>7</v>
      </c>
      <c r="B12" s="108" t="n">
        <v>-97070</v>
      </c>
      <c r="C12" s="108" t="n">
        <v>-108743</v>
      </c>
      <c r="D12" s="120" t="n">
        <f aca="false">+C12-B12</f>
        <v>-11673</v>
      </c>
    </row>
    <row r="13" customFormat="false" ht="12.75" hidden="false" customHeight="false" outlineLevel="0" collapsed="false">
      <c r="A13" s="107" t="n">
        <v>8</v>
      </c>
      <c r="B13" s="108" t="n">
        <v>-94202</v>
      </c>
      <c r="C13" s="108" t="n">
        <v>-117060</v>
      </c>
      <c r="D13" s="120" t="n">
        <f aca="false">+C13-B13</f>
        <v>-22858</v>
      </c>
    </row>
    <row r="14" customFormat="false" ht="12.75" hidden="false" customHeight="false" outlineLevel="0" collapsed="false">
      <c r="A14" s="107" t="n">
        <v>9</v>
      </c>
      <c r="B14" s="108" t="n">
        <v>-22431</v>
      </c>
      <c r="C14" s="108" t="n">
        <v>-43500</v>
      </c>
      <c r="D14" s="120" t="n">
        <f aca="false">+C14-B14</f>
        <v>-21069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 t="n">
        <v>-407</v>
      </c>
      <c r="C16" s="108"/>
      <c r="D16" s="120" t="n">
        <f aca="false">+C16-B16</f>
        <v>407</v>
      </c>
    </row>
    <row r="17" customFormat="false" ht="12.75" hidden="false" customHeight="false" outlineLevel="0" collapsed="false">
      <c r="A17" s="107" t="n">
        <v>12</v>
      </c>
      <c r="B17" s="108" t="n">
        <v>-13135</v>
      </c>
      <c r="C17" s="108" t="n">
        <v>-20000</v>
      </c>
      <c r="D17" s="120" t="n">
        <f aca="false">+C17-B17</f>
        <v>-6865</v>
      </c>
    </row>
    <row r="18" customFormat="false" ht="12.75" hidden="false" customHeight="false" outlineLevel="0" collapsed="false">
      <c r="A18" s="107" t="n">
        <v>13</v>
      </c>
      <c r="B18" s="108" t="n">
        <v>-60483</v>
      </c>
      <c r="C18" s="108" t="n">
        <v>-29781</v>
      </c>
      <c r="D18" s="120" t="n">
        <f aca="false">+C18-B18</f>
        <v>30702</v>
      </c>
    </row>
    <row r="19" customFormat="false" ht="12.75" hidden="false" customHeight="false" outlineLevel="0" collapsed="false">
      <c r="A19" s="107" t="n">
        <v>14</v>
      </c>
      <c r="B19" s="108" t="n">
        <v>-57710</v>
      </c>
      <c r="C19" s="108" t="n">
        <v>-79525</v>
      </c>
      <c r="D19" s="120" t="n">
        <f aca="false">+C19-B19</f>
        <v>-21815</v>
      </c>
    </row>
    <row r="20" customFormat="false" ht="12.75" hidden="false" customHeight="false" outlineLevel="0" collapsed="false">
      <c r="A20" s="107" t="n">
        <v>15</v>
      </c>
      <c r="B20" s="108" t="n">
        <v>-92681</v>
      </c>
      <c r="C20" s="108" t="n">
        <v>-85129</v>
      </c>
      <c r="D20" s="120" t="n">
        <f aca="false">+C20-B20</f>
        <v>7552</v>
      </c>
    </row>
    <row r="21" customFormat="false" ht="12.75" hidden="false" customHeight="false" outlineLevel="0" collapsed="false">
      <c r="A21" s="107" t="n">
        <v>16</v>
      </c>
      <c r="B21" s="108" t="n">
        <v>-99516</v>
      </c>
      <c r="C21" s="108" t="n">
        <v>-74859</v>
      </c>
      <c r="D21" s="120" t="n">
        <f aca="false">+C21-B21</f>
        <v>24657</v>
      </c>
    </row>
    <row r="22" customFormat="false" ht="12.75" hidden="false" customHeight="false" outlineLevel="0" collapsed="false">
      <c r="A22" s="107" t="n">
        <v>17</v>
      </c>
      <c r="B22" s="108" t="n">
        <v>-32937</v>
      </c>
      <c r="C22" s="108" t="n">
        <v>-30000</v>
      </c>
      <c r="D22" s="120" t="n">
        <f aca="false">+C22-B22</f>
        <v>2937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 t="n">
        <v>-5244</v>
      </c>
      <c r="D25" s="120" t="n">
        <f aca="false">+C25-B25</f>
        <v>-5244</v>
      </c>
    </row>
    <row r="26" customFormat="false" ht="12.75" hidden="false" customHeight="false" outlineLevel="0" collapsed="false">
      <c r="A26" s="107" t="n">
        <v>21</v>
      </c>
      <c r="B26" s="108" t="n">
        <v>-188</v>
      </c>
      <c r="C26" s="108" t="n">
        <v>-4252</v>
      </c>
      <c r="D26" s="120" t="n">
        <f aca="false">+C26-B26</f>
        <v>-4064</v>
      </c>
    </row>
    <row r="27" customFormat="false" ht="12.75" hidden="false" customHeight="false" outlineLevel="0" collapsed="false">
      <c r="A27" s="107" t="n">
        <v>22</v>
      </c>
      <c r="B27" s="108" t="n">
        <v>-7</v>
      </c>
      <c r="C27" s="108"/>
      <c r="D27" s="120" t="n">
        <f aca="false">+C27-B27</f>
        <v>7</v>
      </c>
    </row>
    <row r="28" customFormat="false" ht="12.75" hidden="false" customHeight="false" outlineLevel="0" collapsed="false">
      <c r="A28" s="107" t="n">
        <v>23</v>
      </c>
      <c r="B28" s="108" t="n">
        <v>-12322</v>
      </c>
      <c r="C28" s="108" t="n">
        <v>-22851</v>
      </c>
      <c r="D28" s="120" t="n">
        <f aca="false">+C28-B28</f>
        <v>-10529</v>
      </c>
    </row>
    <row r="29" customFormat="false" ht="12.75" hidden="false" customHeight="false" outlineLevel="0" collapsed="false">
      <c r="A29" s="107" t="n">
        <v>24</v>
      </c>
      <c r="B29" s="108" t="n">
        <v>-40282</v>
      </c>
      <c r="C29" s="108" t="n">
        <v>-37582</v>
      </c>
      <c r="D29" s="120" t="n">
        <f aca="false">+C29-B29</f>
        <v>2700</v>
      </c>
    </row>
    <row r="30" customFormat="false" ht="12.75" hidden="false" customHeight="false" outlineLevel="0" collapsed="false">
      <c r="A30" s="107" t="n">
        <v>25</v>
      </c>
      <c r="B30" s="108" t="n">
        <v>-46817</v>
      </c>
      <c r="C30" s="108" t="n">
        <v>-42731</v>
      </c>
      <c r="D30" s="120" t="n">
        <f aca="false">+C30-B30</f>
        <v>4086</v>
      </c>
    </row>
    <row r="31" customFormat="false" ht="12.75" hidden="false" customHeight="false" outlineLevel="0" collapsed="false">
      <c r="A31" s="107" t="n">
        <v>26</v>
      </c>
      <c r="B31" s="108" t="n">
        <v>-46752</v>
      </c>
      <c r="C31" s="108" t="n">
        <v>-47124</v>
      </c>
      <c r="D31" s="120" t="n">
        <f aca="false">+C31-B31</f>
        <v>-372</v>
      </c>
    </row>
    <row r="32" customFormat="false" ht="12.75" hidden="false" customHeight="false" outlineLevel="0" collapsed="false">
      <c r="A32" s="107" t="n">
        <v>27</v>
      </c>
      <c r="B32" s="108" t="n">
        <v>-59680</v>
      </c>
      <c r="C32" s="108" t="n">
        <v>-59883</v>
      </c>
      <c r="D32" s="120" t="n">
        <f aca="false">+C32-B32</f>
        <v>-203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-955911</v>
      </c>
      <c r="C37" s="108" t="n">
        <f aca="false">SUM(C6:C36)</f>
        <v>-907346</v>
      </c>
      <c r="D37" s="120" t="n">
        <f aca="false">SUM(D6:D36)</f>
        <v>48565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2.81</v>
      </c>
    </row>
    <row r="39" customFormat="false" ht="12.75" hidden="false" customHeight="false" outlineLevel="0" collapsed="false">
      <c r="D39" s="132" t="n">
        <f aca="false">+D38*D37</f>
        <v>136467.65</v>
      </c>
    </row>
    <row r="40" customFormat="false" ht="12.75" hidden="false" customHeight="false" outlineLevel="0" collapsed="false">
      <c r="A40" s="152" t="n">
        <v>37103</v>
      </c>
      <c r="C40" s="79"/>
      <c r="D40" s="183" t="n">
        <v>-351170.32</v>
      </c>
    </row>
    <row r="41" customFormat="false" ht="12.75" hidden="false" customHeight="false" outlineLevel="0" collapsed="false">
      <c r="A41" s="152" t="n">
        <v>37130</v>
      </c>
      <c r="C41" s="151"/>
      <c r="D41" s="132" t="n">
        <f aca="false">+D40+D39</f>
        <v>-214702.67</v>
      </c>
    </row>
    <row r="42" customFormat="false" ht="12.75" hidden="false" customHeight="false" outlineLevel="0" collapsed="false">
      <c r="D42" s="108"/>
    </row>
    <row r="45" customFormat="false" ht="12.75" hidden="false" customHeight="false" outlineLevel="0" collapsed="false">
      <c r="A45" s="9" t="s">
        <v>125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37103</v>
      </c>
      <c r="B46" s="9"/>
      <c r="C46" s="9"/>
      <c r="D46" s="301" t="n">
        <v>-150287</v>
      </c>
    </row>
    <row r="47" customFormat="false" ht="12.75" hidden="false" customHeight="false" outlineLevel="0" collapsed="false">
      <c r="A47" s="124" t="n">
        <f aca="false">+A41</f>
        <v>37130</v>
      </c>
      <c r="B47" s="9"/>
      <c r="C47" s="9"/>
      <c r="D47" s="37" t="n">
        <f aca="false">+D37</f>
        <v>48565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-101722</v>
      </c>
    </row>
    <row r="49" customFormat="false" ht="12.75" hidden="false" customHeight="false" outlineLevel="0" collapsed="false">
      <c r="A49" s="127"/>
      <c r="B49" s="128"/>
      <c r="C49" s="129"/>
      <c r="D49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7" activeCellId="3" sqref="A1 A1 F8 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29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114</v>
      </c>
      <c r="C4" s="283" t="s">
        <v>115</v>
      </c>
      <c r="D4" s="284" t="s">
        <v>117</v>
      </c>
    </row>
    <row r="5" customFormat="false" ht="12.75" hidden="false" customHeight="false" outlineLevel="0" collapsed="false">
      <c r="A5" s="282" t="n">
        <v>56659</v>
      </c>
      <c r="B5" s="411" t="n">
        <v>-28297</v>
      </c>
      <c r="C5" s="280" t="n">
        <v>-3159</v>
      </c>
      <c r="D5" s="280" t="n">
        <f aca="false">+C5-B5</f>
        <v>25138</v>
      </c>
      <c r="E5" s="27"/>
      <c r="F5" s="285"/>
    </row>
    <row r="6" customFormat="false" ht="12.75" hidden="false" customHeight="false" outlineLevel="0" collapsed="false">
      <c r="A6" s="282" t="n">
        <v>500046</v>
      </c>
      <c r="B6" s="280" t="n">
        <v>-659</v>
      </c>
      <c r="C6" s="280"/>
      <c r="D6" s="280" t="n">
        <f aca="false">+C6-B6</f>
        <v>659</v>
      </c>
      <c r="E6" s="27"/>
      <c r="F6" s="285"/>
      <c r="K6" s="286" t="n">
        <v>36531</v>
      </c>
      <c r="L6" s="0" t="s">
        <v>164</v>
      </c>
      <c r="M6" s="0" t="n">
        <v>0.5</v>
      </c>
    </row>
    <row r="7" customFormat="false" ht="12.75" hidden="false" customHeight="false" outlineLevel="0" collapsed="false">
      <c r="A7" s="282" t="n">
        <v>500086</v>
      </c>
      <c r="B7" s="314"/>
      <c r="C7" s="280"/>
      <c r="D7" s="280" t="n">
        <f aca="false">+C7-B7</f>
        <v>0</v>
      </c>
      <c r="E7" s="27"/>
      <c r="F7" s="285"/>
      <c r="L7" s="0" t="s">
        <v>165</v>
      </c>
      <c r="M7" s="0" t="n">
        <v>7.6</v>
      </c>
    </row>
    <row r="8" customFormat="false" ht="12.75" hidden="false" customHeight="false" outlineLevel="0" collapsed="false">
      <c r="A8" s="282" t="n">
        <v>500134</v>
      </c>
      <c r="B8" s="314" t="n">
        <v>-25</v>
      </c>
      <c r="C8" s="280"/>
      <c r="D8" s="280" t="n">
        <f aca="false">+C8-B8</f>
        <v>25</v>
      </c>
      <c r="E8" s="27"/>
      <c r="F8" s="285"/>
    </row>
    <row r="9" customFormat="false" ht="12.75" hidden="false" customHeight="false" outlineLevel="0" collapsed="false">
      <c r="A9" s="282" t="n">
        <v>500528</v>
      </c>
      <c r="B9" s="314"/>
      <c r="C9" s="280"/>
      <c r="D9" s="280" t="n">
        <f aca="false">+C9-B9</f>
        <v>0</v>
      </c>
      <c r="E9" s="27"/>
      <c r="F9" s="285"/>
    </row>
    <row r="10" customFormat="false" ht="12.75" hidden="false" customHeight="false" outlineLevel="0" collapsed="false">
      <c r="A10" s="282" t="n">
        <v>500529</v>
      </c>
      <c r="B10" s="280"/>
      <c r="C10" s="287"/>
      <c r="D10" s="280" t="n">
        <f aca="false">+C10-B10</f>
        <v>0</v>
      </c>
      <c r="E10" s="27"/>
      <c r="F10" s="285"/>
    </row>
    <row r="11" customFormat="false" ht="12.75" hidden="false" customHeight="false" outlineLevel="0" collapsed="false">
      <c r="A11" s="282" t="n">
        <v>500619</v>
      </c>
      <c r="B11" s="287"/>
      <c r="C11" s="280"/>
      <c r="D11" s="291" t="n">
        <f aca="false">+C11-B11</f>
        <v>0</v>
      </c>
      <c r="E11" s="27"/>
      <c r="F11" s="285"/>
    </row>
    <row r="12" customFormat="false" ht="12.75" hidden="false" customHeight="false" outlineLevel="0" collapsed="false">
      <c r="A12" s="282"/>
      <c r="B12" s="280"/>
      <c r="C12" s="280"/>
      <c r="D12" s="280" t="n">
        <f aca="false">SUM(D5:D11)</f>
        <v>25822</v>
      </c>
      <c r="E12" s="27"/>
      <c r="F12" s="285"/>
    </row>
    <row r="13" customFormat="false" ht="12.75" hidden="false" customHeight="false" outlineLevel="0" collapsed="false">
      <c r="A13" s="282" t="s">
        <v>166</v>
      </c>
      <c r="B13" s="280"/>
      <c r="C13" s="280"/>
      <c r="D13" s="292" t="n">
        <f aca="false">+summary!H4</f>
        <v>2.81</v>
      </c>
      <c r="E13" s="293"/>
      <c r="F13" s="285"/>
    </row>
    <row r="14" customFormat="false" ht="12.75" hidden="false" customHeight="false" outlineLevel="0" collapsed="false">
      <c r="A14" s="282"/>
      <c r="B14" s="280"/>
      <c r="C14" s="280"/>
      <c r="D14" s="294" t="n">
        <f aca="false">+D13*D12</f>
        <v>72559.82</v>
      </c>
      <c r="E14" s="111"/>
      <c r="F14" s="295"/>
    </row>
    <row r="15" customFormat="false" ht="12.75" hidden="false" customHeight="false" outlineLevel="0" collapsed="false">
      <c r="A15" s="282"/>
      <c r="B15" s="280"/>
      <c r="C15" s="280"/>
      <c r="D15" s="294"/>
      <c r="E15" s="111"/>
      <c r="F15" s="295"/>
    </row>
    <row r="16" customFormat="false" ht="12.75" hidden="false" customHeight="false" outlineLevel="0" collapsed="false">
      <c r="A16" s="296" t="n">
        <v>37103</v>
      </c>
      <c r="B16" s="280"/>
      <c r="C16" s="280"/>
      <c r="D16" s="297" t="n">
        <v>-856340.66</v>
      </c>
      <c r="E16" s="111"/>
      <c r="F16" s="298"/>
    </row>
    <row r="17" customFormat="false" ht="12.75" hidden="false" customHeight="false" outlineLevel="0" collapsed="false">
      <c r="A17" s="282"/>
      <c r="B17" s="280"/>
      <c r="C17" s="280"/>
      <c r="D17" s="294"/>
      <c r="E17" s="111"/>
      <c r="F17" s="298"/>
    </row>
    <row r="18" customFormat="false" ht="13.5" hidden="false" customHeight="false" outlineLevel="0" collapsed="false">
      <c r="A18" s="296" t="n">
        <v>37130</v>
      </c>
      <c r="B18" s="280"/>
      <c r="C18" s="280"/>
      <c r="D18" s="299" t="n">
        <f aca="false">+D16+D14</f>
        <v>-783780.84</v>
      </c>
      <c r="E18" s="111"/>
      <c r="F18" s="298"/>
    </row>
    <row r="19" customFormat="false" ht="13.5" hidden="false" customHeight="false" outlineLevel="0" collapsed="false">
      <c r="E19" s="300"/>
    </row>
    <row r="21" customFormat="false" ht="12.75" hidden="false" customHeight="false" outlineLevel="0" collapsed="false">
      <c r="A21" s="9" t="s">
        <v>125</v>
      </c>
      <c r="B21" s="9"/>
      <c r="C21" s="9"/>
      <c r="D21" s="9"/>
    </row>
    <row r="22" customFormat="false" ht="12.75" hidden="false" customHeight="false" outlineLevel="0" collapsed="false">
      <c r="A22" s="124" t="n">
        <f aca="false">+A16</f>
        <v>37103</v>
      </c>
      <c r="B22" s="9"/>
      <c r="C22" s="9"/>
      <c r="D22" s="301" t="n">
        <v>-187753</v>
      </c>
    </row>
    <row r="23" customFormat="false" ht="12.75" hidden="false" customHeight="false" outlineLevel="0" collapsed="false">
      <c r="A23" s="124" t="n">
        <f aca="false">+A18</f>
        <v>37130</v>
      </c>
      <c r="B23" s="9"/>
      <c r="C23" s="9"/>
      <c r="D23" s="37" t="n">
        <f aca="false">+D12</f>
        <v>25822</v>
      </c>
    </row>
    <row r="24" customFormat="false" ht="12.75" hidden="false" customHeight="false" outlineLevel="0" collapsed="false">
      <c r="A24" s="9"/>
      <c r="B24" s="9"/>
      <c r="C24" s="9"/>
      <c r="D24" s="30" t="n">
        <f aca="false">+D23+D22</f>
        <v>-161931</v>
      </c>
    </row>
    <row r="25" customFormat="false" ht="12.75" hidden="false" customHeight="false" outlineLevel="0" collapsed="false">
      <c r="A25" s="127"/>
      <c r="B25" s="128"/>
      <c r="C25" s="129"/>
      <c r="D25" s="129"/>
    </row>
    <row r="27" customFormat="false" ht="12.75" hidden="false" customHeight="false" outlineLevel="0" collapsed="false">
      <c r="B27" s="27"/>
      <c r="C27" s="27"/>
      <c r="D27" s="27"/>
      <c r="E27" s="31"/>
      <c r="F27" s="31"/>
      <c r="G27" s="9"/>
    </row>
    <row r="28" customFormat="false" ht="12.75" hidden="false" customHeight="false" outlineLevel="0" collapsed="false">
      <c r="B28" s="27"/>
      <c r="C28" s="27"/>
      <c r="D28" s="27"/>
      <c r="E28" s="27"/>
      <c r="F28" s="31"/>
      <c r="G28" s="9"/>
    </row>
    <row r="29" customFormat="false" ht="12.75" hidden="false" customHeight="false" outlineLevel="0" collapsed="false">
      <c r="B29" s="27"/>
      <c r="C29" s="27"/>
      <c r="D29" s="27"/>
      <c r="E29" s="27"/>
      <c r="F29" s="31"/>
      <c r="G29" s="9"/>
    </row>
    <row r="30" customFormat="false" ht="12.75" hidden="false" customHeight="false" outlineLevel="0" collapsed="false">
      <c r="B30" s="27"/>
      <c r="C30" s="27"/>
      <c r="D30" s="27"/>
      <c r="E30" s="27"/>
      <c r="F30" s="31"/>
      <c r="G30" s="9"/>
    </row>
    <row r="31" customFormat="false" ht="12.75" hidden="false" customHeight="false" outlineLevel="0" collapsed="false">
      <c r="B31" s="27"/>
      <c r="C31" s="27"/>
      <c r="D31" s="27"/>
      <c r="E31" s="27"/>
      <c r="F31" s="31"/>
      <c r="G31" s="9"/>
    </row>
    <row r="32" customFormat="false" ht="12.75" hidden="false" customHeight="false" outlineLevel="0" collapsed="false">
      <c r="B32" s="27"/>
      <c r="C32" s="27"/>
      <c r="D32" s="27"/>
      <c r="E32" s="27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47"/>
      <c r="E40" s="47"/>
      <c r="F40" s="38"/>
      <c r="G40" s="9"/>
    </row>
    <row r="41" customFormat="false" ht="12.75" hidden="false" customHeight="false" outlineLevel="0" collapsed="false">
      <c r="A41" s="9"/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A42" s="9"/>
      <c r="B42" s="27"/>
      <c r="C42" s="27"/>
      <c r="D42" s="302"/>
      <c r="E42" s="302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295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295"/>
      <c r="G44" s="9"/>
    </row>
    <row r="45" customFormat="false" ht="12.75" hidden="false" customHeight="false" outlineLevel="0" collapsed="false">
      <c r="E45" s="3"/>
      <c r="F45" s="298"/>
    </row>
    <row r="46" customFormat="false" ht="12.75" hidden="false" customHeight="false" outlineLevel="0" collapsed="false">
      <c r="A46" s="9"/>
      <c r="D46" s="303"/>
      <c r="E46" s="303"/>
      <c r="F46" s="298"/>
    </row>
    <row r="47" customFormat="false" ht="12.75" hidden="false" customHeight="false" outlineLevel="0" collapsed="false">
      <c r="A47" s="9"/>
      <c r="E47" s="3"/>
      <c r="F47" s="298"/>
    </row>
    <row r="48" customFormat="false" ht="12.75" hidden="false" customHeight="false" outlineLevel="0" collapsed="false">
      <c r="A48" s="9"/>
      <c r="E48" s="3"/>
      <c r="F48" s="298"/>
    </row>
    <row r="49" customFormat="false" ht="13.5" hidden="false" customHeight="false" outlineLevel="0" collapsed="false">
      <c r="A49" s="9"/>
      <c r="D49" s="304"/>
      <c r="E49" s="304"/>
      <c r="F49" s="298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7"/>
      <c r="C77" s="27"/>
      <c r="D77" s="27"/>
      <c r="E77" s="31"/>
      <c r="F77" s="31"/>
    </row>
    <row r="78" customFormat="false" ht="12.75" hidden="false" customHeight="false" outlineLevel="0" collapsed="false">
      <c r="B78" s="27"/>
      <c r="C78" s="27"/>
      <c r="D78" s="27"/>
      <c r="E78" s="27"/>
      <c r="F78" s="31"/>
    </row>
    <row r="79" customFormat="false" ht="12.75" hidden="false" customHeight="false" outlineLevel="0" collapsed="false">
      <c r="B79" s="27"/>
      <c r="C79" s="27"/>
      <c r="D79" s="27"/>
      <c r="E79" s="27"/>
      <c r="F79" s="31"/>
    </row>
    <row r="80" customFormat="false" ht="12.75" hidden="false" customHeight="false" outlineLevel="0" collapsed="false">
      <c r="B80" s="27"/>
      <c r="C80" s="27"/>
      <c r="D80" s="27"/>
      <c r="E80" s="27"/>
      <c r="F80" s="31"/>
    </row>
    <row r="81" customFormat="false" ht="12.75" hidden="false" customHeight="false" outlineLevel="0" collapsed="false">
      <c r="B81" s="27"/>
      <c r="C81" s="27"/>
      <c r="D81" s="27"/>
      <c r="E81" s="27"/>
      <c r="F81" s="31"/>
    </row>
    <row r="82" customFormat="false" ht="12.75" hidden="false" customHeight="false" outlineLevel="0" collapsed="false">
      <c r="B82" s="27"/>
      <c r="C82" s="27"/>
      <c r="D82" s="27"/>
      <c r="E82" s="27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47"/>
      <c r="E90" s="47"/>
      <c r="F90" s="38"/>
    </row>
    <row r="91" customFormat="false" ht="12.75" hidden="false" customHeight="false" outlineLevel="0" collapsed="false">
      <c r="A91" s="9"/>
      <c r="B91" s="27"/>
      <c r="C91" s="27"/>
      <c r="D91" s="27"/>
      <c r="E91" s="27"/>
      <c r="F91" s="31"/>
    </row>
    <row r="92" customFormat="false" ht="12.75" hidden="false" customHeight="false" outlineLevel="0" collapsed="false">
      <c r="A92" s="9"/>
      <c r="B92" s="27"/>
      <c r="C92" s="27"/>
      <c r="D92" s="302"/>
      <c r="E92" s="302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295"/>
    </row>
    <row r="94" customFormat="false" ht="12.75" hidden="false" customHeight="false" outlineLevel="0" collapsed="false">
      <c r="B94" s="27"/>
      <c r="C94" s="27"/>
      <c r="D94" s="27"/>
      <c r="E94" s="27"/>
      <c r="F94" s="295"/>
    </row>
    <row r="95" customFormat="false" ht="12.75" hidden="false" customHeight="false" outlineLevel="0" collapsed="false">
      <c r="A95" s="9"/>
      <c r="D95" s="303"/>
      <c r="E95" s="303"/>
      <c r="F95" s="298"/>
    </row>
    <row r="96" customFormat="false" ht="12.75" hidden="false" customHeight="false" outlineLevel="0" collapsed="false">
      <c r="A96" s="9"/>
      <c r="E96" s="3"/>
      <c r="F96" s="298"/>
    </row>
    <row r="97" customFormat="false" ht="13.5" hidden="false" customHeight="false" outlineLevel="0" collapsed="false">
      <c r="A97" s="9"/>
      <c r="D97" s="304"/>
      <c r="E97" s="304"/>
      <c r="F97" s="298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7"/>
      <c r="C103" s="27"/>
      <c r="D103" s="27"/>
      <c r="E103" s="31"/>
      <c r="F103" s="31"/>
    </row>
    <row r="104" customFormat="false" ht="12.75" hidden="false" customHeight="false" outlineLevel="0" collapsed="false">
      <c r="B104" s="27"/>
      <c r="C104" s="27"/>
      <c r="D104" s="27"/>
      <c r="E104" s="27"/>
      <c r="F104" s="31"/>
    </row>
    <row r="105" customFormat="false" ht="12.75" hidden="false" customHeight="false" outlineLevel="0" collapsed="false">
      <c r="B105" s="27"/>
      <c r="C105" s="27"/>
      <c r="D105" s="27"/>
      <c r="E105" s="27"/>
      <c r="F105" s="31"/>
    </row>
    <row r="106" customFormat="false" ht="12.75" hidden="false" customHeight="false" outlineLevel="0" collapsed="false">
      <c r="B106" s="27"/>
      <c r="C106" s="27"/>
      <c r="D106" s="27"/>
      <c r="E106" s="27"/>
      <c r="F106" s="31"/>
    </row>
    <row r="107" customFormat="false" ht="12.75" hidden="false" customHeight="false" outlineLevel="0" collapsed="false">
      <c r="B107" s="27"/>
      <c r="C107" s="27"/>
      <c r="D107" s="27"/>
      <c r="E107" s="27"/>
      <c r="F107" s="31"/>
    </row>
    <row r="108" customFormat="false" ht="12.75" hidden="false" customHeight="false" outlineLevel="0" collapsed="false">
      <c r="B108" s="27"/>
      <c r="C108" s="27"/>
      <c r="D108" s="27"/>
      <c r="E108" s="27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47"/>
      <c r="E116" s="47"/>
      <c r="F116" s="38"/>
    </row>
    <row r="117" customFormat="false" ht="12.75" hidden="false" customHeight="false" outlineLevel="0" collapsed="false">
      <c r="A117" s="9"/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A118" s="9"/>
      <c r="B118" s="27"/>
      <c r="C118" s="27"/>
      <c r="D118" s="302"/>
      <c r="E118" s="302"/>
      <c r="F118" s="31"/>
    </row>
    <row r="119" customFormat="false" ht="12.75" hidden="false" customHeight="false" outlineLevel="0" collapsed="false">
      <c r="B119" s="27"/>
      <c r="C119" s="27"/>
      <c r="D119" s="111"/>
      <c r="E119" s="111"/>
      <c r="F119" s="295"/>
    </row>
    <row r="120" customFormat="false" ht="12.75" hidden="false" customHeight="false" outlineLevel="0" collapsed="false">
      <c r="B120" s="27"/>
      <c r="C120" s="27"/>
      <c r="D120" s="111"/>
      <c r="E120" s="111"/>
      <c r="F120" s="295"/>
    </row>
    <row r="121" customFormat="false" ht="12.75" hidden="false" customHeight="false" outlineLevel="0" collapsed="false">
      <c r="A121" s="9"/>
      <c r="D121" s="305"/>
      <c r="E121" s="305"/>
      <c r="F121" s="298"/>
    </row>
    <row r="122" customFormat="false" ht="12.75" hidden="false" customHeight="false" outlineLevel="0" collapsed="false">
      <c r="A122" s="9"/>
      <c r="D122" s="111"/>
      <c r="E122" s="111"/>
      <c r="F122" s="298"/>
    </row>
    <row r="123" customFormat="false" ht="13.5" hidden="false" customHeight="false" outlineLevel="0" collapsed="false">
      <c r="A123" s="9"/>
      <c r="D123" s="306"/>
      <c r="E123" s="306"/>
      <c r="F123" s="298"/>
    </row>
    <row r="124" customFormat="false" ht="13.5" hidden="false" customHeight="false" outlineLevel="0" collapsed="false"/>
    <row r="128" customFormat="false" ht="12.75" hidden="false" customHeight="false" outlineLevel="0" collapsed="false">
      <c r="B128" s="27"/>
      <c r="C128" s="27"/>
      <c r="D128" s="27"/>
      <c r="E128" s="31"/>
      <c r="F128" s="31"/>
    </row>
    <row r="129" customFormat="false" ht="12.75" hidden="false" customHeight="false" outlineLevel="0" collapsed="false">
      <c r="B129" s="27"/>
      <c r="C129" s="27"/>
      <c r="D129" s="27"/>
      <c r="E129" s="27"/>
      <c r="F129" s="31"/>
    </row>
    <row r="130" customFormat="false" ht="12.75" hidden="false" customHeight="false" outlineLevel="0" collapsed="false">
      <c r="B130" s="27"/>
      <c r="C130" s="27"/>
      <c r="D130" s="27"/>
      <c r="E130" s="27"/>
      <c r="F130" s="31"/>
    </row>
    <row r="131" customFormat="false" ht="12.75" hidden="false" customHeight="false" outlineLevel="0" collapsed="false">
      <c r="B131" s="27"/>
      <c r="C131" s="27"/>
      <c r="D131" s="27"/>
      <c r="E131" s="27"/>
      <c r="F131" s="31"/>
    </row>
    <row r="132" customFormat="false" ht="12.75" hidden="false" customHeight="false" outlineLevel="0" collapsed="false">
      <c r="B132" s="27"/>
      <c r="C132" s="27"/>
      <c r="D132" s="27"/>
      <c r="E132" s="27"/>
      <c r="F132" s="31"/>
    </row>
    <row r="133" customFormat="false" ht="12.75" hidden="false" customHeight="false" outlineLevel="0" collapsed="false">
      <c r="B133" s="27"/>
      <c r="C133" s="27"/>
      <c r="D133" s="27"/>
      <c r="E133" s="27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47"/>
      <c r="E141" s="47"/>
      <c r="F141" s="38"/>
    </row>
    <row r="142" customFormat="false" ht="12.75" hidden="false" customHeight="false" outlineLevel="0" collapsed="false">
      <c r="A142" s="9"/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A143" s="9"/>
      <c r="B143" s="27"/>
      <c r="C143" s="27"/>
      <c r="D143" s="302"/>
      <c r="E143" s="302"/>
      <c r="F143" s="31"/>
    </row>
    <row r="144" customFormat="false" ht="12.75" hidden="false" customHeight="false" outlineLevel="0" collapsed="false">
      <c r="B144" s="27"/>
      <c r="C144" s="27"/>
      <c r="D144" s="111"/>
      <c r="E144" s="111"/>
      <c r="F144" s="295"/>
    </row>
    <row r="145" customFormat="false" ht="12.75" hidden="false" customHeight="false" outlineLevel="0" collapsed="false">
      <c r="B145" s="27"/>
      <c r="C145" s="27"/>
      <c r="D145" s="111"/>
      <c r="E145" s="111"/>
      <c r="F145" s="295"/>
    </row>
    <row r="146" customFormat="false" ht="12.75" hidden="false" customHeight="false" outlineLevel="0" collapsed="false">
      <c r="A146" s="9"/>
      <c r="D146" s="305"/>
      <c r="E146" s="305"/>
      <c r="F146" s="298"/>
    </row>
    <row r="147" customFormat="false" ht="12.75" hidden="false" customHeight="false" outlineLevel="0" collapsed="false">
      <c r="A147" s="9"/>
      <c r="D147" s="111"/>
      <c r="E147" s="111"/>
      <c r="F147" s="298"/>
    </row>
    <row r="148" customFormat="false" ht="13.5" hidden="false" customHeight="false" outlineLevel="0" collapsed="false">
      <c r="A148" s="9"/>
      <c r="D148" s="306"/>
      <c r="E148" s="306"/>
      <c r="F148" s="298"/>
    </row>
    <row r="149" customFormat="false" ht="13.5" hidden="false" customHeight="false" outlineLevel="0" collapsed="false"/>
    <row r="153" customFormat="false" ht="12.75" hidden="false" customHeight="false" outlineLevel="0" collapsed="false">
      <c r="B153" s="27"/>
      <c r="C153" s="27"/>
      <c r="D153" s="27"/>
      <c r="E153" s="31"/>
      <c r="F153" s="31"/>
    </row>
    <row r="154" customFormat="false" ht="12.75" hidden="false" customHeight="false" outlineLevel="0" collapsed="false">
      <c r="B154" s="307"/>
      <c r="C154" s="27"/>
      <c r="D154" s="27"/>
      <c r="E154" s="27"/>
      <c r="F154" s="31"/>
    </row>
    <row r="155" customFormat="false" ht="12.75" hidden="false" customHeight="false" outlineLevel="0" collapsed="false">
      <c r="B155" s="27"/>
      <c r="C155" s="27"/>
      <c r="D155" s="27"/>
      <c r="E155" s="27"/>
      <c r="F155" s="31"/>
    </row>
    <row r="156" customFormat="false" ht="12.75" hidden="false" customHeight="false" outlineLevel="0" collapsed="false">
      <c r="B156" s="307"/>
      <c r="C156" s="27"/>
      <c r="D156" s="27"/>
      <c r="E156" s="27"/>
      <c r="F156" s="31"/>
    </row>
    <row r="157" customFormat="false" ht="12.75" hidden="false" customHeight="false" outlineLevel="0" collapsed="false">
      <c r="B157" s="27"/>
      <c r="C157" s="27"/>
      <c r="D157" s="27"/>
      <c r="E157" s="27"/>
      <c r="F157" s="31"/>
    </row>
    <row r="158" customFormat="false" ht="12.75" hidden="false" customHeight="false" outlineLevel="0" collapsed="false">
      <c r="B158" s="27"/>
      <c r="C158" s="27"/>
      <c r="D158" s="27"/>
      <c r="E158" s="27"/>
      <c r="F158" s="31"/>
    </row>
    <row r="159" customFormat="false" ht="12.75" hidden="false" customHeight="false" outlineLevel="0" collapsed="false">
      <c r="B159" s="307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07"/>
      <c r="C164" s="27"/>
      <c r="D164" s="27"/>
      <c r="E164" s="27"/>
      <c r="F164" s="31"/>
    </row>
    <row r="165" customFormat="false" ht="12.75" hidden="false" customHeight="false" outlineLevel="0" collapsed="false">
      <c r="B165" s="307"/>
      <c r="C165" s="27"/>
      <c r="D165" s="27"/>
      <c r="E165" s="27"/>
      <c r="F165" s="31"/>
    </row>
    <row r="166" customFormat="false" ht="12.75" hidden="false" customHeight="false" outlineLevel="0" collapsed="false">
      <c r="B166" s="307"/>
      <c r="C166" s="27"/>
      <c r="D166" s="47"/>
      <c r="E166" s="47"/>
      <c r="F166" s="38"/>
    </row>
    <row r="167" customFormat="false" ht="12.75" hidden="false" customHeight="false" outlineLevel="0" collapsed="false">
      <c r="A167" s="9"/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A168" s="9"/>
      <c r="B168" s="27"/>
      <c r="C168" s="27"/>
      <c r="D168" s="302"/>
      <c r="E168" s="302"/>
      <c r="F168" s="31"/>
    </row>
    <row r="169" customFormat="false" ht="12.75" hidden="false" customHeight="false" outlineLevel="0" collapsed="false">
      <c r="B169" s="27"/>
      <c r="C169" s="27"/>
      <c r="D169" s="111"/>
      <c r="E169" s="111"/>
      <c r="F169" s="295"/>
    </row>
    <row r="170" customFormat="false" ht="12.75" hidden="false" customHeight="false" outlineLevel="0" collapsed="false">
      <c r="B170" s="27"/>
      <c r="C170" s="27"/>
      <c r="D170" s="111"/>
      <c r="E170" s="111"/>
      <c r="F170" s="295"/>
    </row>
    <row r="171" customFormat="false" ht="12.75" hidden="false" customHeight="false" outlineLevel="0" collapsed="false">
      <c r="A171" s="9"/>
      <c r="D171" s="305"/>
      <c r="E171" s="305"/>
      <c r="F171" s="298"/>
    </row>
    <row r="172" customFormat="false" ht="12.75" hidden="false" customHeight="false" outlineLevel="0" collapsed="false">
      <c r="A172" s="9"/>
      <c r="D172" s="111"/>
      <c r="E172" s="111"/>
      <c r="F172" s="298"/>
    </row>
    <row r="173" customFormat="false" ht="13.5" hidden="false" customHeight="false" outlineLevel="0" collapsed="false">
      <c r="A173" s="9"/>
      <c r="D173" s="306"/>
      <c r="E173" s="306"/>
      <c r="F173" s="298"/>
    </row>
    <row r="174" customFormat="false" ht="13.5" hidden="false" customHeight="false" outlineLevel="0" collapsed="false"/>
    <row r="177" customFormat="false" ht="12.75" hidden="false" customHeight="false" outlineLevel="0" collapsed="false">
      <c r="B177" s="27"/>
      <c r="C177" s="27"/>
      <c r="D177" s="27"/>
      <c r="E177" s="31"/>
      <c r="F177" s="31"/>
    </row>
    <row r="178" customFormat="false" ht="12.75" hidden="false" customHeight="false" outlineLevel="0" collapsed="false">
      <c r="B178" s="307"/>
      <c r="C178" s="27"/>
      <c r="D178" s="27"/>
      <c r="E178" s="27"/>
      <c r="F178" s="31"/>
    </row>
    <row r="179" customFormat="false" ht="12.75" hidden="false" customHeight="false" outlineLevel="0" collapsed="false">
      <c r="B179" s="27"/>
      <c r="C179" s="27"/>
      <c r="D179" s="27"/>
      <c r="E179" s="27"/>
      <c r="F179" s="31"/>
    </row>
    <row r="180" customFormat="false" ht="12.75" hidden="false" customHeight="false" outlineLevel="0" collapsed="false">
      <c r="B180" s="307"/>
      <c r="C180" s="27"/>
      <c r="D180" s="27"/>
      <c r="E180" s="27"/>
      <c r="F180" s="31"/>
    </row>
    <row r="181" customFormat="false" ht="12.75" hidden="false" customHeight="false" outlineLevel="0" collapsed="false">
      <c r="B181" s="27"/>
      <c r="C181" s="27"/>
      <c r="D181" s="27"/>
      <c r="E181" s="27"/>
      <c r="F181" s="31"/>
    </row>
    <row r="182" customFormat="false" ht="12.75" hidden="false" customHeight="false" outlineLevel="0" collapsed="false">
      <c r="B182" s="27"/>
      <c r="C182" s="27"/>
      <c r="D182" s="27"/>
      <c r="E182" s="27"/>
      <c r="F182" s="31"/>
    </row>
    <row r="183" customFormat="false" ht="12.75" hidden="false" customHeight="false" outlineLevel="0" collapsed="false">
      <c r="B183" s="307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A185" s="308"/>
      <c r="B185" s="309"/>
      <c r="C185" s="309"/>
      <c r="D185" s="309"/>
      <c r="E185" s="309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07"/>
      <c r="C188" s="27"/>
      <c r="D188" s="27"/>
      <c r="E188" s="27"/>
      <c r="F188" s="31"/>
    </row>
    <row r="189" customFormat="false" ht="12.75" hidden="false" customHeight="false" outlineLevel="0" collapsed="false">
      <c r="B189" s="307"/>
      <c r="C189" s="27"/>
      <c r="D189" s="27"/>
      <c r="E189" s="27"/>
      <c r="F189" s="31"/>
    </row>
    <row r="190" customFormat="false" ht="12.75" hidden="false" customHeight="false" outlineLevel="0" collapsed="false">
      <c r="B190" s="307"/>
      <c r="C190" s="27"/>
      <c r="D190" s="47"/>
      <c r="E190" s="47"/>
      <c r="F190" s="38"/>
    </row>
    <row r="191" customFormat="false" ht="12.75" hidden="false" customHeight="false" outlineLevel="0" collapsed="false">
      <c r="A191" s="9"/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A192" s="9"/>
      <c r="B192" s="27"/>
      <c r="C192" s="27"/>
      <c r="D192" s="302"/>
      <c r="E192" s="302"/>
      <c r="F192" s="31"/>
    </row>
    <row r="193" customFormat="false" ht="12.75" hidden="false" customHeight="false" outlineLevel="0" collapsed="false">
      <c r="B193" s="27"/>
      <c r="C193" s="27"/>
      <c r="D193" s="111"/>
      <c r="E193" s="111"/>
      <c r="F193" s="295"/>
    </row>
    <row r="194" customFormat="false" ht="12.75" hidden="false" customHeight="false" outlineLevel="0" collapsed="false">
      <c r="B194" s="27"/>
      <c r="C194" s="27"/>
      <c r="D194" s="111"/>
      <c r="E194" s="111"/>
      <c r="F194" s="295"/>
    </row>
    <row r="195" customFormat="false" ht="12.75" hidden="false" customHeight="false" outlineLevel="0" collapsed="false">
      <c r="A195" s="9"/>
      <c r="D195" s="305"/>
      <c r="E195" s="305"/>
      <c r="F195" s="298"/>
    </row>
    <row r="196" customFormat="false" ht="12.75" hidden="false" customHeight="false" outlineLevel="0" collapsed="false">
      <c r="A196" s="9"/>
      <c r="D196" s="111"/>
      <c r="E196" s="111"/>
      <c r="F196" s="298"/>
    </row>
    <row r="197" customFormat="false" ht="13.5" hidden="false" customHeight="false" outlineLevel="0" collapsed="false">
      <c r="A197" s="9"/>
      <c r="D197" s="310"/>
      <c r="E197" s="306"/>
      <c r="F197" s="298"/>
    </row>
    <row r="198" customFormat="false" ht="13.5" hidden="false" customHeight="false" outlineLevel="0" collapsed="false"/>
    <row r="204" customFormat="false" ht="12.75" hidden="false" customHeight="false" outlineLevel="0" collapsed="false">
      <c r="B204" s="307"/>
      <c r="C204" s="27"/>
      <c r="D204" s="27"/>
      <c r="E204" s="27"/>
      <c r="F204" s="31"/>
    </row>
    <row r="205" customFormat="false" ht="12.75" hidden="false" customHeight="false" outlineLevel="0" collapsed="false">
      <c r="B205" s="27"/>
      <c r="C205" s="27"/>
      <c r="D205" s="27"/>
      <c r="E205" s="27"/>
      <c r="F205" s="31"/>
    </row>
    <row r="206" customFormat="false" ht="12.75" hidden="false" customHeight="false" outlineLevel="0" collapsed="false">
      <c r="B206" s="307"/>
      <c r="C206" s="27"/>
      <c r="D206" s="27"/>
      <c r="E206" s="27"/>
      <c r="F206" s="31"/>
    </row>
    <row r="207" customFormat="false" ht="12.75" hidden="false" customHeight="false" outlineLevel="0" collapsed="false">
      <c r="B207" s="27"/>
      <c r="C207" s="27"/>
      <c r="D207" s="27"/>
      <c r="E207" s="27"/>
      <c r="F207" s="31"/>
    </row>
    <row r="208" customFormat="false" ht="12.75" hidden="false" customHeight="false" outlineLevel="0" collapsed="false">
      <c r="B208" s="27"/>
      <c r="C208" s="27"/>
      <c r="D208" s="27"/>
      <c r="E208" s="27"/>
      <c r="F208" s="31"/>
    </row>
    <row r="209" customFormat="false" ht="12.75" hidden="false" customHeight="false" outlineLevel="0" collapsed="false">
      <c r="B209" s="307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A211" s="308"/>
      <c r="B211" s="309"/>
      <c r="C211" s="309"/>
      <c r="D211" s="309"/>
      <c r="E211" s="309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07"/>
      <c r="C214" s="27"/>
      <c r="D214" s="27"/>
      <c r="E214" s="27"/>
      <c r="F214" s="31"/>
    </row>
    <row r="215" customFormat="false" ht="12.75" hidden="false" customHeight="false" outlineLevel="0" collapsed="false">
      <c r="B215" s="307"/>
      <c r="C215" s="27"/>
      <c r="D215" s="27"/>
      <c r="E215" s="27"/>
      <c r="F215" s="31"/>
    </row>
    <row r="216" customFormat="false" ht="12.75" hidden="false" customHeight="false" outlineLevel="0" collapsed="false">
      <c r="B216" s="307"/>
      <c r="C216" s="27"/>
      <c r="D216" s="47"/>
      <c r="E216" s="47"/>
      <c r="F216" s="38"/>
    </row>
    <row r="217" customFormat="false" ht="12.75" hidden="false" customHeight="false" outlineLevel="0" collapsed="false">
      <c r="A217" s="9"/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A218" s="9"/>
      <c r="B218" s="27"/>
      <c r="C218" s="27"/>
      <c r="D218" s="302"/>
      <c r="E218" s="302"/>
      <c r="F218" s="31"/>
    </row>
    <row r="219" customFormat="false" ht="12.75" hidden="false" customHeight="false" outlineLevel="0" collapsed="false">
      <c r="B219" s="27"/>
      <c r="C219" s="27"/>
      <c r="D219" s="111"/>
      <c r="E219" s="111"/>
      <c r="F219" s="295"/>
    </row>
    <row r="220" customFormat="false" ht="12.75" hidden="false" customHeight="false" outlineLevel="0" collapsed="false">
      <c r="B220" s="27"/>
      <c r="C220" s="27"/>
      <c r="D220" s="111"/>
      <c r="E220" s="111"/>
      <c r="F220" s="295"/>
    </row>
    <row r="221" customFormat="false" ht="12.75" hidden="false" customHeight="false" outlineLevel="0" collapsed="false">
      <c r="A221" s="9"/>
      <c r="D221" s="305"/>
      <c r="E221" s="305"/>
      <c r="F221" s="298"/>
    </row>
    <row r="222" customFormat="false" ht="12.75" hidden="false" customHeight="false" outlineLevel="0" collapsed="false">
      <c r="A222" s="9"/>
      <c r="D222" s="111"/>
      <c r="E222" s="111"/>
      <c r="F222" s="298"/>
    </row>
    <row r="223" customFormat="false" ht="13.5" hidden="false" customHeight="false" outlineLevel="0" collapsed="false">
      <c r="A223" s="9"/>
      <c r="D223" s="310"/>
      <c r="E223" s="306"/>
      <c r="F223" s="298"/>
    </row>
    <row r="224" customFormat="false" ht="13.5" hidden="false" customHeight="false" outlineLevel="0" collapsed="false"/>
    <row r="228" customFormat="false" ht="12.75" hidden="false" customHeight="false" outlineLevel="0" collapsed="false">
      <c r="B228" s="307"/>
      <c r="C228" s="27"/>
      <c r="D228" s="27"/>
      <c r="E228" s="27"/>
      <c r="F228" s="31"/>
    </row>
    <row r="229" customFormat="false" ht="12.75" hidden="false" customHeight="false" outlineLevel="0" collapsed="false">
      <c r="B229" s="27"/>
      <c r="C229" s="27"/>
      <c r="D229" s="27"/>
      <c r="E229" s="27"/>
      <c r="F229" s="31"/>
    </row>
    <row r="230" customFormat="false" ht="12.75" hidden="false" customHeight="false" outlineLevel="0" collapsed="false">
      <c r="B230" s="307"/>
      <c r="C230" s="27"/>
      <c r="D230" s="27"/>
      <c r="E230" s="27"/>
      <c r="F230" s="31"/>
    </row>
    <row r="231" customFormat="false" ht="12.75" hidden="false" customHeight="false" outlineLevel="0" collapsed="false">
      <c r="B231" s="27"/>
      <c r="C231" s="27"/>
      <c r="D231" s="27"/>
      <c r="E231" s="27"/>
      <c r="F231" s="31"/>
    </row>
    <row r="232" customFormat="false" ht="12.75" hidden="false" customHeight="false" outlineLevel="0" collapsed="false">
      <c r="B232" s="27"/>
      <c r="C232" s="27"/>
      <c r="D232" s="27"/>
      <c r="E232" s="27"/>
      <c r="F232" s="31"/>
    </row>
    <row r="233" customFormat="false" ht="12.75" hidden="false" customHeight="false" outlineLevel="0" collapsed="false">
      <c r="B233" s="307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A235" s="311"/>
      <c r="B235" s="289"/>
      <c r="C235" s="289"/>
      <c r="D235" s="289"/>
      <c r="E235" s="289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07"/>
      <c r="C238" s="27"/>
      <c r="D238" s="27"/>
      <c r="E238" s="27"/>
      <c r="F238" s="31"/>
    </row>
    <row r="239" customFormat="false" ht="12.75" hidden="false" customHeight="false" outlineLevel="0" collapsed="false">
      <c r="B239" s="307"/>
      <c r="C239" s="27"/>
      <c r="D239" s="27"/>
      <c r="E239" s="27"/>
      <c r="F239" s="31"/>
    </row>
    <row r="240" customFormat="false" ht="12.75" hidden="false" customHeight="false" outlineLevel="0" collapsed="false">
      <c r="B240" s="307"/>
      <c r="C240" s="27"/>
      <c r="D240" s="47"/>
      <c r="E240" s="47"/>
      <c r="F240" s="38"/>
    </row>
    <row r="241" customFormat="false" ht="12.75" hidden="false" customHeight="false" outlineLevel="0" collapsed="false">
      <c r="A241" s="9"/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A242" s="9"/>
      <c r="B242" s="27"/>
      <c r="C242" s="27"/>
      <c r="D242" s="302"/>
      <c r="E242" s="302"/>
      <c r="F242" s="31"/>
    </row>
    <row r="243" customFormat="false" ht="12.75" hidden="false" customHeight="false" outlineLevel="0" collapsed="false">
      <c r="B243" s="27"/>
      <c r="C243" s="27"/>
      <c r="D243" s="111"/>
      <c r="E243" s="111"/>
      <c r="F243" s="295"/>
    </row>
    <row r="244" customFormat="false" ht="12.75" hidden="false" customHeight="false" outlineLevel="0" collapsed="false">
      <c r="B244" s="27"/>
      <c r="C244" s="27"/>
      <c r="D244" s="111"/>
      <c r="E244" s="111"/>
      <c r="F244" s="295"/>
    </row>
    <row r="245" customFormat="false" ht="12.75" hidden="false" customHeight="false" outlineLevel="0" collapsed="false">
      <c r="A245" s="9"/>
      <c r="D245" s="305"/>
      <c r="E245" s="305"/>
      <c r="F245" s="298"/>
    </row>
    <row r="246" customFormat="false" ht="12.75" hidden="false" customHeight="false" outlineLevel="0" collapsed="false">
      <c r="A246" s="9"/>
      <c r="D246" s="111"/>
      <c r="E246" s="111"/>
      <c r="F246" s="298"/>
    </row>
    <row r="247" customFormat="false" ht="13.5" hidden="false" customHeight="false" outlineLevel="0" collapsed="false">
      <c r="A247" s="9"/>
      <c r="D247" s="312"/>
      <c r="E247" s="306"/>
      <c r="F247" s="298"/>
    </row>
    <row r="248" customFormat="false" ht="13.5" hidden="false" customHeight="false" outlineLevel="0" collapsed="false"/>
    <row r="250" customFormat="false" ht="12.75" hidden="false" customHeight="false" outlineLevel="0" collapsed="false">
      <c r="A250" s="282"/>
      <c r="B250" s="280"/>
      <c r="C250" s="280"/>
      <c r="D250" s="280"/>
    </row>
    <row r="251" customFormat="false" ht="12.75" hidden="false" customHeight="false" outlineLevel="0" collapsed="false">
      <c r="A251" s="282"/>
      <c r="B251" s="280"/>
      <c r="C251" s="280"/>
      <c r="D251" s="280"/>
    </row>
    <row r="252" customFormat="false" ht="12.75" hidden="false" customHeight="false" outlineLevel="0" collapsed="false">
      <c r="A252" s="282"/>
      <c r="B252" s="313"/>
      <c r="C252" s="280"/>
      <c r="D252" s="280"/>
      <c r="E252" s="27"/>
      <c r="F252" s="31"/>
    </row>
    <row r="253" customFormat="false" ht="12.75" hidden="false" customHeight="false" outlineLevel="0" collapsed="false">
      <c r="A253" s="282"/>
      <c r="B253" s="280"/>
      <c r="C253" s="280"/>
      <c r="D253" s="280"/>
      <c r="E253" s="27"/>
      <c r="F253" s="31"/>
    </row>
    <row r="254" customFormat="false" ht="12.75" hidden="false" customHeight="false" outlineLevel="0" collapsed="false">
      <c r="A254" s="282"/>
      <c r="B254" s="313"/>
      <c r="C254" s="280"/>
      <c r="D254" s="280"/>
      <c r="E254" s="27"/>
      <c r="F254" s="31"/>
    </row>
    <row r="255" customFormat="false" ht="12.75" hidden="false" customHeight="false" outlineLevel="0" collapsed="false">
      <c r="A255" s="282"/>
      <c r="B255" s="280"/>
      <c r="C255" s="280"/>
      <c r="D255" s="280"/>
      <c r="E255" s="27"/>
      <c r="F255" s="31"/>
    </row>
    <row r="256" customFormat="false" ht="12.75" hidden="false" customHeight="false" outlineLevel="0" collapsed="false">
      <c r="A256" s="282"/>
      <c r="B256" s="280"/>
      <c r="C256" s="280"/>
      <c r="D256" s="280"/>
      <c r="E256" s="27"/>
      <c r="F256" s="31"/>
    </row>
    <row r="257" customFormat="false" ht="12.75" hidden="false" customHeight="false" outlineLevel="0" collapsed="false">
      <c r="A257" s="282"/>
      <c r="B257" s="313"/>
      <c r="C257" s="280"/>
      <c r="D257" s="280"/>
      <c r="E257" s="27"/>
      <c r="F257" s="31"/>
    </row>
    <row r="258" customFormat="false" ht="12.75" hidden="false" customHeight="false" outlineLevel="0" collapsed="false">
      <c r="A258" s="282"/>
      <c r="B258" s="280"/>
      <c r="C258" s="280"/>
      <c r="D258" s="280"/>
      <c r="E258" s="27"/>
      <c r="F258" s="31"/>
    </row>
    <row r="259" customFormat="false" ht="12.75" hidden="false" customHeight="false" outlineLevel="0" collapsed="false">
      <c r="A259" s="288"/>
      <c r="B259" s="314"/>
      <c r="C259" s="314"/>
      <c r="D259" s="314"/>
      <c r="E259" s="289"/>
      <c r="F259" s="31"/>
    </row>
    <row r="260" customFormat="false" ht="12.75" hidden="false" customHeight="false" outlineLevel="0" collapsed="false">
      <c r="A260" s="282"/>
      <c r="B260" s="280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313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313"/>
      <c r="C263" s="280"/>
      <c r="D263" s="280"/>
      <c r="E263" s="27"/>
      <c r="F263" s="31"/>
    </row>
    <row r="264" customFormat="false" ht="12.75" hidden="false" customHeight="false" outlineLevel="0" collapsed="false">
      <c r="A264" s="282"/>
      <c r="B264" s="313"/>
      <c r="C264" s="280"/>
      <c r="D264" s="291"/>
      <c r="E264" s="47"/>
      <c r="F264" s="38"/>
    </row>
    <row r="265" customFormat="false" ht="12.75" hidden="false" customHeight="false" outlineLevel="0" collapsed="false">
      <c r="A265" s="282"/>
      <c r="B265" s="280"/>
      <c r="C265" s="280"/>
      <c r="D265" s="280"/>
      <c r="E265" s="27"/>
      <c r="F265" s="31"/>
    </row>
    <row r="266" customFormat="false" ht="12.75" hidden="false" customHeight="false" outlineLevel="0" collapsed="false">
      <c r="A266" s="282"/>
      <c r="B266" s="280"/>
      <c r="C266" s="280"/>
      <c r="D266" s="292"/>
      <c r="E266" s="302"/>
      <c r="F266" s="31"/>
    </row>
    <row r="267" customFormat="false" ht="12.75" hidden="false" customHeight="false" outlineLevel="0" collapsed="false">
      <c r="A267" s="282"/>
      <c r="B267" s="280"/>
      <c r="C267" s="280"/>
      <c r="D267" s="294"/>
      <c r="E267" s="111"/>
      <c r="F267" s="295"/>
    </row>
    <row r="268" customFormat="false" ht="12.75" hidden="false" customHeight="false" outlineLevel="0" collapsed="false">
      <c r="A268" s="282"/>
      <c r="B268" s="280"/>
      <c r="C268" s="280"/>
      <c r="D268" s="294"/>
      <c r="E268" s="111"/>
      <c r="F268" s="295"/>
    </row>
    <row r="269" customFormat="false" ht="12.75" hidden="false" customHeight="false" outlineLevel="0" collapsed="false">
      <c r="A269" s="282"/>
      <c r="B269" s="280"/>
      <c r="C269" s="280"/>
      <c r="D269" s="315"/>
      <c r="E269" s="305"/>
      <c r="F269" s="298"/>
    </row>
    <row r="270" customFormat="false" ht="12.75" hidden="false" customHeight="false" outlineLevel="0" collapsed="false">
      <c r="A270" s="282"/>
      <c r="B270" s="280"/>
      <c r="C270" s="280"/>
      <c r="D270" s="294"/>
      <c r="E270" s="111"/>
      <c r="F270" s="298"/>
    </row>
    <row r="271" customFormat="false" ht="13.5" hidden="false" customHeight="false" outlineLevel="0" collapsed="false">
      <c r="A271" s="282"/>
      <c r="B271" s="280"/>
      <c r="C271" s="280"/>
      <c r="D271" s="316"/>
      <c r="E271" s="306"/>
      <c r="F271" s="298"/>
    </row>
    <row r="272" customFormat="false" ht="13.5" hidden="false" customHeight="false" outlineLevel="0" collapsed="false"/>
    <row r="275" customFormat="false" ht="12.75" hidden="false" customHeight="false" outlineLevel="0" collapsed="false">
      <c r="A275" s="282"/>
      <c r="B275" s="280"/>
      <c r="C275" s="280"/>
      <c r="D275" s="280"/>
    </row>
    <row r="276" customFormat="false" ht="12.75" hidden="false" customHeight="false" outlineLevel="0" collapsed="false">
      <c r="A276" s="282"/>
      <c r="B276" s="280"/>
      <c r="C276" s="280"/>
      <c r="D276" s="280"/>
    </row>
    <row r="277" customFormat="false" ht="12.75" hidden="false" customHeight="false" outlineLevel="0" collapsed="false">
      <c r="A277" s="282"/>
      <c r="B277" s="313"/>
      <c r="C277" s="280"/>
      <c r="D277" s="280"/>
      <c r="E277" s="27"/>
      <c r="F277" s="31"/>
    </row>
    <row r="278" customFormat="false" ht="12.75" hidden="false" customHeight="false" outlineLevel="0" collapsed="false">
      <c r="A278" s="282"/>
      <c r="B278" s="280"/>
      <c r="C278" s="280"/>
      <c r="D278" s="280"/>
      <c r="E278" s="27"/>
      <c r="F278" s="31"/>
    </row>
    <row r="279" customFormat="false" ht="12.75" hidden="false" customHeight="false" outlineLevel="0" collapsed="false">
      <c r="A279" s="282"/>
      <c r="B279" s="313"/>
      <c r="C279" s="280"/>
      <c r="D279" s="280"/>
      <c r="E279" s="27"/>
      <c r="F279" s="31"/>
    </row>
    <row r="280" customFormat="false" ht="12.75" hidden="false" customHeight="false" outlineLevel="0" collapsed="false">
      <c r="A280" s="282"/>
      <c r="B280" s="280"/>
      <c r="C280" s="280"/>
      <c r="D280" s="280"/>
      <c r="E280" s="27"/>
      <c r="F280" s="31"/>
    </row>
    <row r="281" customFormat="false" ht="12.75" hidden="false" customHeight="false" outlineLevel="0" collapsed="false">
      <c r="A281" s="282"/>
      <c r="B281" s="280"/>
      <c r="C281" s="280"/>
      <c r="D281" s="280"/>
      <c r="E281" s="27"/>
      <c r="F281" s="31"/>
    </row>
    <row r="282" customFormat="false" ht="12.75" hidden="false" customHeight="false" outlineLevel="0" collapsed="false">
      <c r="A282" s="282"/>
      <c r="B282" s="313"/>
      <c r="C282" s="280"/>
      <c r="D282" s="280"/>
      <c r="E282" s="27"/>
      <c r="F282" s="31"/>
    </row>
    <row r="283" customFormat="false" ht="12.75" hidden="false" customHeight="false" outlineLevel="0" collapsed="false">
      <c r="A283" s="282"/>
      <c r="B283" s="280"/>
      <c r="C283" s="280"/>
      <c r="D283" s="280"/>
      <c r="E283" s="27"/>
      <c r="F283" s="31"/>
    </row>
    <row r="284" customFormat="false" ht="12.75" hidden="false" customHeight="false" outlineLevel="0" collapsed="false">
      <c r="A284" s="288"/>
      <c r="B284" s="314"/>
      <c r="C284" s="314"/>
      <c r="D284" s="314"/>
      <c r="E284" s="289"/>
      <c r="F284" s="31"/>
    </row>
    <row r="285" customFormat="false" ht="12.75" hidden="false" customHeight="false" outlineLevel="0" collapsed="false">
      <c r="A285" s="282"/>
      <c r="B285" s="280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313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313"/>
      <c r="C288" s="280"/>
      <c r="D288" s="280"/>
      <c r="E288" s="27"/>
      <c r="F288" s="31"/>
    </row>
    <row r="289" customFormat="false" ht="12.75" hidden="false" customHeight="false" outlineLevel="0" collapsed="false">
      <c r="A289" s="282"/>
      <c r="B289" s="313"/>
      <c r="C289" s="280"/>
      <c r="D289" s="291"/>
      <c r="E289" s="47"/>
      <c r="F289" s="38"/>
    </row>
    <row r="290" customFormat="false" ht="12.75" hidden="false" customHeight="false" outlineLevel="0" collapsed="false">
      <c r="A290" s="282"/>
      <c r="B290" s="280"/>
      <c r="C290" s="280"/>
      <c r="D290" s="280"/>
      <c r="E290" s="27"/>
      <c r="F290" s="31"/>
    </row>
    <row r="291" customFormat="false" ht="12.75" hidden="false" customHeight="false" outlineLevel="0" collapsed="false">
      <c r="A291" s="282"/>
      <c r="B291" s="280"/>
      <c r="C291" s="280"/>
      <c r="D291" s="292"/>
      <c r="E291" s="302"/>
      <c r="F291" s="31"/>
    </row>
    <row r="292" customFormat="false" ht="12.75" hidden="false" customHeight="false" outlineLevel="0" collapsed="false">
      <c r="A292" s="282"/>
      <c r="B292" s="280"/>
      <c r="C292" s="280"/>
      <c r="D292" s="294"/>
      <c r="E292" s="111"/>
      <c r="F292" s="295"/>
    </row>
    <row r="293" customFormat="false" ht="12.75" hidden="false" customHeight="false" outlineLevel="0" collapsed="false">
      <c r="A293" s="282"/>
      <c r="B293" s="280"/>
      <c r="C293" s="280"/>
      <c r="D293" s="294"/>
      <c r="E293" s="111"/>
      <c r="F293" s="295"/>
    </row>
    <row r="294" customFormat="false" ht="12.75" hidden="false" customHeight="false" outlineLevel="0" collapsed="false">
      <c r="A294" s="296"/>
      <c r="B294" s="280"/>
      <c r="C294" s="280"/>
      <c r="D294" s="315"/>
      <c r="E294" s="305"/>
      <c r="F294" s="298"/>
    </row>
    <row r="295" customFormat="false" ht="12.75" hidden="false" customHeight="false" outlineLevel="0" collapsed="false">
      <c r="A295" s="282"/>
      <c r="B295" s="280"/>
      <c r="C295" s="280"/>
      <c r="D295" s="294"/>
      <c r="E295" s="111"/>
      <c r="F295" s="298"/>
    </row>
    <row r="296" customFormat="false" ht="13.5" hidden="false" customHeight="false" outlineLevel="0" collapsed="false">
      <c r="A296" s="282"/>
      <c r="B296" s="280"/>
      <c r="C296" s="280"/>
      <c r="D296" s="316"/>
      <c r="E296" s="306"/>
      <c r="F296" s="298"/>
    </row>
    <row r="297" customFormat="false" ht="13.5" hidden="false" customHeight="false" outlineLevel="0" collapsed="false"/>
    <row r="302" customFormat="false" ht="12.75" hidden="false" customHeight="false" outlineLevel="0" collapsed="false">
      <c r="A302" s="282"/>
      <c r="B302" s="280"/>
      <c r="C302" s="280"/>
      <c r="D302" s="280"/>
    </row>
    <row r="303" customFormat="false" ht="12.75" hidden="false" customHeight="false" outlineLevel="0" collapsed="false">
      <c r="A303" s="282"/>
      <c r="B303" s="280"/>
      <c r="C303" s="280"/>
      <c r="D303" s="280"/>
    </row>
    <row r="304" customFormat="false" ht="12.75" hidden="false" customHeight="false" outlineLevel="0" collapsed="false">
      <c r="A304" s="282"/>
      <c r="B304" s="313"/>
      <c r="C304" s="280"/>
      <c r="D304" s="280"/>
      <c r="E304" s="27"/>
      <c r="F304" s="31"/>
    </row>
    <row r="305" customFormat="false" ht="12.75" hidden="false" customHeight="false" outlineLevel="0" collapsed="false">
      <c r="A305" s="282"/>
      <c r="B305" s="280"/>
      <c r="C305" s="280"/>
      <c r="D305" s="280"/>
      <c r="E305" s="27"/>
      <c r="F305" s="31"/>
    </row>
    <row r="306" customFormat="false" ht="12.75" hidden="false" customHeight="false" outlineLevel="0" collapsed="false">
      <c r="A306" s="282"/>
      <c r="B306" s="313"/>
      <c r="C306" s="280"/>
      <c r="D306" s="280"/>
      <c r="E306" s="27"/>
      <c r="F306" s="31"/>
    </row>
    <row r="307" customFormat="false" ht="12.75" hidden="false" customHeight="false" outlineLevel="0" collapsed="false">
      <c r="A307" s="282"/>
      <c r="B307" s="280"/>
      <c r="C307" s="280"/>
      <c r="D307" s="280"/>
      <c r="E307" s="27"/>
      <c r="F307" s="31"/>
    </row>
    <row r="308" customFormat="false" ht="12.75" hidden="false" customHeight="false" outlineLevel="0" collapsed="false">
      <c r="A308" s="282"/>
      <c r="B308" s="280"/>
      <c r="C308" s="280"/>
      <c r="D308" s="280"/>
      <c r="E308" s="27"/>
      <c r="F308" s="31"/>
    </row>
    <row r="309" customFormat="false" ht="12.75" hidden="false" customHeight="false" outlineLevel="0" collapsed="false">
      <c r="A309" s="282"/>
      <c r="B309" s="313"/>
      <c r="C309" s="280"/>
      <c r="D309" s="280"/>
      <c r="E309" s="27"/>
      <c r="F309" s="31"/>
    </row>
    <row r="310" customFormat="false" ht="12.75" hidden="false" customHeight="false" outlineLevel="0" collapsed="false">
      <c r="A310" s="282"/>
      <c r="B310" s="280"/>
      <c r="C310" s="280"/>
      <c r="D310" s="280"/>
      <c r="E310" s="27"/>
      <c r="F310" s="31"/>
    </row>
    <row r="311" customFormat="false" ht="12.75" hidden="false" customHeight="false" outlineLevel="0" collapsed="false">
      <c r="A311" s="288"/>
      <c r="B311" s="314"/>
      <c r="C311" s="314"/>
      <c r="D311" s="314"/>
      <c r="E311" s="289"/>
      <c r="F311" s="31"/>
    </row>
    <row r="312" customFormat="false" ht="12.75" hidden="false" customHeight="false" outlineLevel="0" collapsed="false">
      <c r="A312" s="282"/>
      <c r="B312" s="280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313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313"/>
      <c r="C315" s="280"/>
      <c r="D315" s="280"/>
      <c r="E315" s="27"/>
      <c r="F315" s="31"/>
    </row>
    <row r="316" customFormat="false" ht="12.75" hidden="false" customHeight="false" outlineLevel="0" collapsed="false">
      <c r="A316" s="282"/>
      <c r="B316" s="313"/>
      <c r="C316" s="280"/>
      <c r="D316" s="291"/>
      <c r="E316" s="47"/>
      <c r="F316" s="38"/>
    </row>
    <row r="317" customFormat="false" ht="12.75" hidden="false" customHeight="false" outlineLevel="0" collapsed="false">
      <c r="A317" s="282"/>
      <c r="B317" s="280"/>
      <c r="C317" s="280"/>
      <c r="D317" s="280"/>
      <c r="E317" s="27"/>
      <c r="F317" s="31"/>
    </row>
    <row r="318" customFormat="false" ht="12.75" hidden="false" customHeight="false" outlineLevel="0" collapsed="false">
      <c r="A318" s="282"/>
      <c r="B318" s="280"/>
      <c r="C318" s="280"/>
      <c r="D318" s="292"/>
      <c r="E318" s="302"/>
      <c r="F318" s="31"/>
    </row>
    <row r="319" customFormat="false" ht="12.75" hidden="false" customHeight="false" outlineLevel="0" collapsed="false">
      <c r="A319" s="282"/>
      <c r="B319" s="280"/>
      <c r="C319" s="280"/>
      <c r="D319" s="294"/>
      <c r="E319" s="111"/>
      <c r="F319" s="295"/>
    </row>
    <row r="320" customFormat="false" ht="12.75" hidden="false" customHeight="false" outlineLevel="0" collapsed="false">
      <c r="A320" s="282"/>
      <c r="B320" s="280"/>
      <c r="C320" s="280"/>
      <c r="D320" s="294"/>
      <c r="E320" s="111"/>
      <c r="F320" s="295"/>
    </row>
    <row r="321" customFormat="false" ht="12.75" hidden="false" customHeight="false" outlineLevel="0" collapsed="false">
      <c r="A321" s="296"/>
      <c r="B321" s="280"/>
      <c r="C321" s="280"/>
      <c r="D321" s="315"/>
      <c r="E321" s="305"/>
      <c r="F321" s="298"/>
    </row>
    <row r="322" customFormat="false" ht="12.75" hidden="false" customHeight="false" outlineLevel="0" collapsed="false">
      <c r="A322" s="282"/>
      <c r="B322" s="280"/>
      <c r="C322" s="280"/>
      <c r="D322" s="294"/>
      <c r="E322" s="111"/>
      <c r="F322" s="298"/>
    </row>
    <row r="323" customFormat="false" ht="13.5" hidden="false" customHeight="false" outlineLevel="0" collapsed="false">
      <c r="A323" s="282"/>
      <c r="B323" s="280"/>
      <c r="C323" s="280"/>
      <c r="D323" s="316"/>
      <c r="E323" s="306"/>
      <c r="F323" s="298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B31" activeCellId="3" sqref="A1 A1 A1 B3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90</v>
      </c>
    </row>
    <row r="4" customFormat="false" ht="12.75" hidden="false" customHeight="false" outlineLevel="0" collapsed="false">
      <c r="A4" s="136"/>
      <c r="B4" s="98" t="n">
        <v>8042</v>
      </c>
      <c r="D4" s="98"/>
    </row>
    <row r="5" customFormat="false" ht="12.75" hidden="false" customHeight="false" outlineLevel="0" collapsed="false">
      <c r="A5" s="75" t="s">
        <v>113</v>
      </c>
      <c r="B5" s="101" t="s">
        <v>114</v>
      </c>
      <c r="C5" s="101" t="s">
        <v>115</v>
      </c>
    </row>
    <row r="6" customFormat="false" ht="12.75" hidden="false" customHeight="false" outlineLevel="0" collapsed="false">
      <c r="A6" s="107" t="n">
        <v>1</v>
      </c>
      <c r="B6" s="108"/>
      <c r="C6" s="108"/>
      <c r="D6" s="120" t="n">
        <f aca="false">+C6-B6</f>
        <v>0</v>
      </c>
    </row>
    <row r="7" customFormat="false" ht="12.75" hidden="false" customHeight="false" outlineLevel="0" collapsed="false">
      <c r="A7" s="107" t="n">
        <v>2</v>
      </c>
      <c r="B7" s="108"/>
      <c r="C7" s="108"/>
      <c r="D7" s="120" t="n">
        <f aca="false">+C7-B7</f>
        <v>0</v>
      </c>
    </row>
    <row r="8" customFormat="false" ht="12.75" hidden="false" customHeight="false" outlineLevel="0" collapsed="false">
      <c r="A8" s="107" t="n">
        <v>3</v>
      </c>
      <c r="B8" s="108"/>
      <c r="C8" s="108" t="n">
        <v>-2368</v>
      </c>
      <c r="D8" s="120" t="n">
        <f aca="false">+C8-B8</f>
        <v>-2368</v>
      </c>
    </row>
    <row r="9" customFormat="false" ht="12.75" hidden="false" customHeight="false" outlineLevel="0" collapsed="false">
      <c r="A9" s="107" t="n">
        <v>4</v>
      </c>
      <c r="B9" s="108"/>
      <c r="C9" s="108" t="n">
        <v>-2368</v>
      </c>
      <c r="D9" s="120" t="n">
        <f aca="false">+C9-B9</f>
        <v>-2368</v>
      </c>
    </row>
    <row r="10" customFormat="false" ht="12.75" hidden="false" customHeight="false" outlineLevel="0" collapsed="false">
      <c r="A10" s="107" t="n">
        <v>5</v>
      </c>
      <c r="B10" s="108"/>
      <c r="C10" s="108" t="n">
        <v>-2368</v>
      </c>
      <c r="D10" s="120" t="n">
        <f aca="false">+C10-B10</f>
        <v>-2368</v>
      </c>
    </row>
    <row r="11" customFormat="false" ht="12.75" hidden="false" customHeight="false" outlineLevel="0" collapsed="false">
      <c r="A11" s="107" t="n">
        <v>6</v>
      </c>
      <c r="B11" s="108"/>
      <c r="C11" s="108" t="n">
        <v>-2368</v>
      </c>
      <c r="D11" s="120" t="n">
        <f aca="false">+C11-B11</f>
        <v>-2368</v>
      </c>
    </row>
    <row r="12" customFormat="false" ht="12.75" hidden="false" customHeight="false" outlineLevel="0" collapsed="false">
      <c r="A12" s="107" t="n">
        <v>7</v>
      </c>
      <c r="B12" s="108"/>
      <c r="C12" s="108" t="n">
        <v>-2368</v>
      </c>
      <c r="D12" s="120" t="n">
        <f aca="false">+C12-B12</f>
        <v>-2368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 t="n">
        <v>-4</v>
      </c>
      <c r="C21" s="108"/>
      <c r="D21" s="120" t="n">
        <f aca="false">+C21-B21</f>
        <v>4</v>
      </c>
    </row>
    <row r="22" customFormat="false" ht="12.75" hidden="false" customHeight="false" outlineLevel="0" collapsed="false">
      <c r="A22" s="107" t="n">
        <v>17</v>
      </c>
      <c r="B22" s="108" t="n">
        <v>-1</v>
      </c>
      <c r="C22" s="108"/>
      <c r="D22" s="120" t="n">
        <f aca="false">+C22-B22</f>
        <v>1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 t="n">
        <v>-1</v>
      </c>
      <c r="C30" s="108"/>
      <c r="D30" s="120" t="n">
        <f aca="false">+C30-B30</f>
        <v>1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-6</v>
      </c>
      <c r="C37" s="108" t="n">
        <f aca="false">SUM(C6:C36)</f>
        <v>-11840</v>
      </c>
      <c r="D37" s="120" t="n">
        <f aca="false">SUM(D6:D36)</f>
        <v>-11834</v>
      </c>
    </row>
    <row r="38" customFormat="false" ht="12.75" hidden="false" customHeight="false" outlineLevel="0" collapsed="false">
      <c r="A38" s="134"/>
      <c r="C38" s="30"/>
      <c r="D38" s="412"/>
    </row>
    <row r="39" customFormat="false" ht="12.75" hidden="false" customHeight="false" outlineLevel="0" collapsed="false">
      <c r="D39" s="132"/>
    </row>
    <row r="40" customFormat="false" ht="12.75" hidden="false" customHeight="false" outlineLevel="0" collapsed="false">
      <c r="A40" s="152" t="n">
        <v>37103</v>
      </c>
      <c r="C40" s="79"/>
      <c r="D40" s="121" t="n">
        <v>76325</v>
      </c>
    </row>
    <row r="41" customFormat="false" ht="12.75" hidden="false" customHeight="false" outlineLevel="0" collapsed="false">
      <c r="A41" s="152" t="n">
        <v>37130</v>
      </c>
      <c r="C41" s="151"/>
      <c r="D41" s="120" t="n">
        <f aca="false">+D40+D37</f>
        <v>64491</v>
      </c>
    </row>
    <row r="44" customFormat="false" ht="12.75" hidden="false" customHeight="false" outlineLevel="0" collapsed="false">
      <c r="A44" s="9" t="s">
        <v>120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125" t="n">
        <v>341220.3</v>
      </c>
    </row>
    <row r="46" customFormat="false" ht="12.75" hidden="false" customHeight="false" outlineLevel="0" collapsed="false">
      <c r="A46" s="124" t="n">
        <f aca="false">+A41</f>
        <v>37130</v>
      </c>
      <c r="B46" s="9"/>
      <c r="C46" s="9"/>
      <c r="D46" s="126" t="n">
        <f aca="false">+D37*'by type'!J4</f>
        <v>-33253.54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307966.76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4" activeCellId="3" sqref="C37 A41 D41 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6" t="n">
        <v>56423</v>
      </c>
      <c r="B4" s="157"/>
    </row>
    <row r="6" customFormat="false" ht="12.75" hidden="false" customHeight="false" outlineLevel="0" collapsed="false">
      <c r="A6" s="75" t="s">
        <v>113</v>
      </c>
      <c r="B6" s="101" t="s">
        <v>114</v>
      </c>
      <c r="C6" s="101" t="s">
        <v>115</v>
      </c>
      <c r="D6" s="101" t="s">
        <v>133</v>
      </c>
    </row>
    <row r="7" customFormat="false" ht="12.75" hidden="false" customHeight="false" outlineLevel="0" collapsed="false">
      <c r="A7" s="107" t="n">
        <v>1</v>
      </c>
      <c r="B7" s="108" t="n">
        <v>129260</v>
      </c>
      <c r="C7" s="108" t="n">
        <v>129182</v>
      </c>
      <c r="D7" s="120" t="n">
        <f aca="false">+C7-B7</f>
        <v>-78</v>
      </c>
    </row>
    <row r="8" customFormat="false" ht="12.75" hidden="false" customHeight="false" outlineLevel="0" collapsed="false">
      <c r="A8" s="107" t="n">
        <v>2</v>
      </c>
      <c r="B8" s="108" t="n">
        <v>126748</v>
      </c>
      <c r="C8" s="108" t="n">
        <v>122113</v>
      </c>
      <c r="D8" s="120" t="n">
        <f aca="false">+C8-B8</f>
        <v>-4635</v>
      </c>
    </row>
    <row r="9" customFormat="false" ht="12.75" hidden="false" customHeight="false" outlineLevel="0" collapsed="false">
      <c r="A9" s="107" t="n">
        <v>3</v>
      </c>
      <c r="B9" s="108" t="n">
        <v>123158</v>
      </c>
      <c r="C9" s="108" t="n">
        <v>122442</v>
      </c>
      <c r="D9" s="120" t="n">
        <f aca="false">+C9-B9</f>
        <v>-716</v>
      </c>
    </row>
    <row r="10" customFormat="false" ht="12.75" hidden="false" customHeight="false" outlineLevel="0" collapsed="false">
      <c r="A10" s="107" t="n">
        <v>4</v>
      </c>
      <c r="B10" s="108" t="n">
        <v>107561</v>
      </c>
      <c r="C10" s="108" t="n">
        <v>106472</v>
      </c>
      <c r="D10" s="120" t="n">
        <f aca="false">+C10-B10</f>
        <v>-1089</v>
      </c>
    </row>
    <row r="11" customFormat="false" ht="12.75" hidden="false" customHeight="false" outlineLevel="0" collapsed="false">
      <c r="A11" s="107" t="n">
        <v>5</v>
      </c>
      <c r="B11" s="108" t="n">
        <v>111357</v>
      </c>
      <c r="C11" s="108" t="n">
        <v>111062</v>
      </c>
      <c r="D11" s="120" t="n">
        <f aca="false">+C11-B11</f>
        <v>-295</v>
      </c>
    </row>
    <row r="12" customFormat="false" ht="12.75" hidden="false" customHeight="false" outlineLevel="0" collapsed="false">
      <c r="A12" s="107" t="n">
        <v>6</v>
      </c>
      <c r="B12" s="108" t="n">
        <v>113863</v>
      </c>
      <c r="C12" s="108" t="n">
        <v>113152</v>
      </c>
      <c r="D12" s="120" t="n">
        <f aca="false">+C12-B12</f>
        <v>-711</v>
      </c>
    </row>
    <row r="13" customFormat="false" ht="12.75" hidden="false" customHeight="false" outlineLevel="0" collapsed="false">
      <c r="A13" s="107" t="n">
        <v>7</v>
      </c>
      <c r="B13" s="108" t="n">
        <v>89887</v>
      </c>
      <c r="C13" s="108" t="n">
        <v>128168</v>
      </c>
      <c r="D13" s="120" t="n">
        <f aca="false">+C13-B13</f>
        <v>38281</v>
      </c>
    </row>
    <row r="14" customFormat="false" ht="12.75" hidden="false" customHeight="false" outlineLevel="0" collapsed="false">
      <c r="A14" s="107" t="n">
        <v>8</v>
      </c>
      <c r="B14" s="108" t="n">
        <v>120044</v>
      </c>
      <c r="C14" s="108" t="n">
        <v>119268</v>
      </c>
      <c r="D14" s="120" t="n">
        <f aca="false">+C14-B14</f>
        <v>-776</v>
      </c>
    </row>
    <row r="15" customFormat="false" ht="12.75" hidden="false" customHeight="false" outlineLevel="0" collapsed="false">
      <c r="A15" s="107" t="n">
        <v>9</v>
      </c>
      <c r="B15" s="108" t="n">
        <v>117369</v>
      </c>
      <c r="C15" s="108" t="n">
        <v>115843</v>
      </c>
      <c r="D15" s="120" t="n">
        <f aca="false">+C15-B15</f>
        <v>-1526</v>
      </c>
    </row>
    <row r="16" customFormat="false" ht="12.75" hidden="false" customHeight="false" outlineLevel="0" collapsed="false">
      <c r="A16" s="107" t="n">
        <v>10</v>
      </c>
      <c r="B16" s="108" t="n">
        <v>103180</v>
      </c>
      <c r="C16" s="108" t="n">
        <v>98992</v>
      </c>
      <c r="D16" s="120" t="n">
        <f aca="false">+C16-B16</f>
        <v>-4188</v>
      </c>
    </row>
    <row r="17" customFormat="false" ht="12.75" hidden="false" customHeight="false" outlineLevel="0" collapsed="false">
      <c r="A17" s="107" t="n">
        <v>11</v>
      </c>
      <c r="B17" s="108" t="n">
        <v>108603</v>
      </c>
      <c r="C17" s="108" t="n">
        <v>107939</v>
      </c>
      <c r="D17" s="120" t="n">
        <f aca="false">+C17-B17</f>
        <v>-664</v>
      </c>
    </row>
    <row r="18" customFormat="false" ht="12.75" hidden="false" customHeight="false" outlineLevel="0" collapsed="false">
      <c r="A18" s="107" t="n">
        <v>12</v>
      </c>
      <c r="B18" s="108" t="n">
        <v>111233</v>
      </c>
      <c r="C18" s="108" t="n">
        <v>110704</v>
      </c>
      <c r="D18" s="120" t="n">
        <f aca="false">+C18-B18</f>
        <v>-529</v>
      </c>
    </row>
    <row r="19" customFormat="false" ht="12.75" hidden="false" customHeight="false" outlineLevel="0" collapsed="false">
      <c r="A19" s="107" t="n">
        <v>13</v>
      </c>
      <c r="B19" s="108" t="n">
        <v>119896</v>
      </c>
      <c r="C19" s="108" t="n">
        <v>119795</v>
      </c>
      <c r="D19" s="120" t="n">
        <f aca="false">+C19-B19</f>
        <v>-101</v>
      </c>
    </row>
    <row r="20" customFormat="false" ht="12.75" hidden="false" customHeight="false" outlineLevel="0" collapsed="false">
      <c r="A20" s="107" t="n">
        <v>14</v>
      </c>
      <c r="B20" s="108" t="n">
        <v>112667</v>
      </c>
      <c r="C20" s="108" t="n">
        <v>112310</v>
      </c>
      <c r="D20" s="120" t="n">
        <f aca="false">+C20-B20</f>
        <v>-357</v>
      </c>
    </row>
    <row r="21" customFormat="false" ht="12.75" hidden="false" customHeight="false" outlineLevel="0" collapsed="false">
      <c r="A21" s="107" t="n">
        <v>15</v>
      </c>
      <c r="B21" s="108" t="n">
        <v>108935</v>
      </c>
      <c r="C21" s="108" t="n">
        <v>108429</v>
      </c>
      <c r="D21" s="120" t="n">
        <f aca="false">+C21-B21</f>
        <v>-506</v>
      </c>
    </row>
    <row r="22" customFormat="false" ht="12.75" hidden="false" customHeight="false" outlineLevel="0" collapsed="false">
      <c r="A22" s="107" t="n">
        <v>16</v>
      </c>
      <c r="B22" s="108" t="n">
        <v>107432</v>
      </c>
      <c r="C22" s="108" t="n">
        <v>107294</v>
      </c>
      <c r="D22" s="120" t="n">
        <f aca="false">+C22-B22</f>
        <v>-138</v>
      </c>
    </row>
    <row r="23" customFormat="false" ht="12.75" hidden="false" customHeight="false" outlineLevel="0" collapsed="false">
      <c r="A23" s="107" t="n">
        <v>17</v>
      </c>
      <c r="B23" s="108" t="n">
        <v>108973</v>
      </c>
      <c r="C23" s="108" t="n">
        <v>108429</v>
      </c>
      <c r="D23" s="120" t="n">
        <f aca="false">+C23-B23</f>
        <v>-544</v>
      </c>
    </row>
    <row r="24" customFormat="false" ht="12.75" hidden="false" customHeight="false" outlineLevel="0" collapsed="false">
      <c r="A24" s="107" t="n">
        <v>18</v>
      </c>
      <c r="B24" s="108" t="n">
        <v>105972</v>
      </c>
      <c r="C24" s="108" t="n">
        <v>105750</v>
      </c>
      <c r="D24" s="120" t="n">
        <f aca="false">+C24-B24</f>
        <v>-222</v>
      </c>
    </row>
    <row r="25" customFormat="false" ht="12.75" hidden="false" customHeight="false" outlineLevel="0" collapsed="false">
      <c r="A25" s="107" t="n">
        <v>19</v>
      </c>
      <c r="B25" s="108" t="n">
        <v>106485</v>
      </c>
      <c r="C25" s="108" t="n">
        <v>106082</v>
      </c>
      <c r="D25" s="120" t="n">
        <f aca="false">+C25-B25</f>
        <v>-403</v>
      </c>
    </row>
    <row r="26" customFormat="false" ht="12.75" hidden="false" customHeight="false" outlineLevel="0" collapsed="false">
      <c r="A26" s="107" t="n">
        <v>20</v>
      </c>
      <c r="B26" s="108" t="n">
        <v>97063</v>
      </c>
      <c r="C26" s="108" t="n">
        <v>94980</v>
      </c>
      <c r="D26" s="120" t="n">
        <f aca="false">+C26-B26</f>
        <v>-2083</v>
      </c>
    </row>
    <row r="27" customFormat="false" ht="12.75" hidden="false" customHeight="false" outlineLevel="0" collapsed="false">
      <c r="A27" s="107" t="n">
        <v>21</v>
      </c>
      <c r="B27" s="108" t="n">
        <v>91009</v>
      </c>
      <c r="C27" s="108" t="n">
        <v>90233</v>
      </c>
      <c r="D27" s="120" t="n">
        <f aca="false">+C27-B27</f>
        <v>-776</v>
      </c>
    </row>
    <row r="28" customFormat="false" ht="12.75" hidden="false" customHeight="false" outlineLevel="0" collapsed="false">
      <c r="A28" s="107" t="n">
        <v>22</v>
      </c>
      <c r="B28" s="108" t="n">
        <v>120835</v>
      </c>
      <c r="C28" s="108" t="n">
        <v>120080</v>
      </c>
      <c r="D28" s="120" t="n">
        <f aca="false">+C28-B28</f>
        <v>-755</v>
      </c>
    </row>
    <row r="29" customFormat="false" ht="12.75" hidden="false" customHeight="false" outlineLevel="0" collapsed="false">
      <c r="A29" s="107" t="n">
        <v>23</v>
      </c>
      <c r="B29" s="108" t="n">
        <v>119482</v>
      </c>
      <c r="C29" s="108" t="n">
        <v>118456</v>
      </c>
      <c r="D29" s="120" t="n">
        <f aca="false">+C29-B29</f>
        <v>-1026</v>
      </c>
    </row>
    <row r="30" customFormat="false" ht="12.75" hidden="false" customHeight="false" outlineLevel="0" collapsed="false">
      <c r="A30" s="107" t="n">
        <v>24</v>
      </c>
      <c r="B30" s="108" t="n">
        <v>116376</v>
      </c>
      <c r="C30" s="108" t="n">
        <v>114885</v>
      </c>
      <c r="D30" s="120" t="n">
        <f aca="false">+C30-B30</f>
        <v>-1491</v>
      </c>
    </row>
    <row r="31" customFormat="false" ht="12.75" hidden="false" customHeight="false" outlineLevel="0" collapsed="false">
      <c r="A31" s="107" t="n">
        <v>25</v>
      </c>
      <c r="B31" s="108" t="n">
        <v>127730</v>
      </c>
      <c r="C31" s="108" t="n">
        <v>128419</v>
      </c>
      <c r="D31" s="120" t="n">
        <f aca="false">+C31-B31</f>
        <v>689</v>
      </c>
    </row>
    <row r="32" customFormat="false" ht="12.75" hidden="false" customHeight="false" outlineLevel="0" collapsed="false">
      <c r="A32" s="107" t="n">
        <v>26</v>
      </c>
      <c r="B32" s="108" t="n">
        <v>137820</v>
      </c>
      <c r="C32" s="108" t="n">
        <v>139153</v>
      </c>
      <c r="D32" s="120" t="n">
        <f aca="false">+C32-B32</f>
        <v>1333</v>
      </c>
    </row>
    <row r="33" customFormat="false" ht="12.75" hidden="false" customHeight="false" outlineLevel="0" collapsed="false">
      <c r="A33" s="107" t="n">
        <v>27</v>
      </c>
      <c r="B33" s="108" t="n">
        <v>125177</v>
      </c>
      <c r="C33" s="108" t="n">
        <v>125597</v>
      </c>
      <c r="D33" s="120" t="n">
        <f aca="false">+C33-B33</f>
        <v>420</v>
      </c>
    </row>
    <row r="34" customFormat="false" ht="12.75" hidden="false" customHeight="false" outlineLevel="0" collapsed="false">
      <c r="A34" s="107" t="n">
        <v>28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29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30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31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/>
      <c r="B38" s="108" t="n">
        <f aca="false">SUM(B7:B37)</f>
        <v>3068115</v>
      </c>
      <c r="C38" s="108" t="n">
        <f aca="false">SUM(C7:C37)</f>
        <v>3085229</v>
      </c>
      <c r="D38" s="108" t="n">
        <f aca="false">SUM(D7:D37)</f>
        <v>17114</v>
      </c>
    </row>
    <row r="39" customFormat="false" ht="12.75" hidden="false" customHeight="false" outlineLevel="0" collapsed="false">
      <c r="A39" s="134"/>
      <c r="C39" s="30"/>
      <c r="D39" s="184" t="n">
        <f aca="false">+summary!H3</f>
        <v>2.63</v>
      </c>
    </row>
    <row r="40" customFormat="false" ht="12.75" hidden="false" customHeight="false" outlineLevel="0" collapsed="false">
      <c r="D40" s="132" t="n">
        <f aca="false">+D39*D38</f>
        <v>45009.82</v>
      </c>
    </row>
    <row r="41" customFormat="false" ht="12.75" hidden="false" customHeight="false" outlineLevel="0" collapsed="false">
      <c r="A41" s="152" t="n">
        <v>37103</v>
      </c>
      <c r="C41" s="79"/>
      <c r="D41" s="413" t="n">
        <v>-36642</v>
      </c>
    </row>
    <row r="42" customFormat="false" ht="12.75" hidden="false" customHeight="false" outlineLevel="0" collapsed="false">
      <c r="A42" s="152" t="n">
        <v>37130</v>
      </c>
      <c r="D42" s="131" t="n">
        <f aca="false">+D41+D40</f>
        <v>8367.82</v>
      </c>
    </row>
    <row r="46" customFormat="false" ht="12.75" hidden="false" customHeight="false" outlineLevel="0" collapsed="false">
      <c r="A46" s="9" t="s">
        <v>125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+A41</f>
        <v>37103</v>
      </c>
      <c r="B47" s="9"/>
      <c r="C47" s="9"/>
      <c r="D47" s="301" t="n">
        <v>-14958</v>
      </c>
    </row>
    <row r="48" customFormat="false" ht="12.75" hidden="false" customHeight="false" outlineLevel="0" collapsed="false">
      <c r="A48" s="124" t="n">
        <f aca="false">+A42</f>
        <v>37130</v>
      </c>
      <c r="B48" s="9"/>
      <c r="C48" s="9"/>
      <c r="D48" s="37" t="n">
        <f aca="false">+D38</f>
        <v>17114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2156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32" activeCellId="3" sqref="B43 B41 B19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43"/>
      <c r="B2" s="9" t="n">
        <v>57245</v>
      </c>
      <c r="C2" s="30"/>
      <c r="D2" s="9" t="n">
        <v>500154</v>
      </c>
      <c r="E2" s="9"/>
      <c r="F2" s="9"/>
      <c r="G2" s="143"/>
      <c r="H2" s="9"/>
      <c r="I2" s="30"/>
      <c r="J2" s="9"/>
      <c r="K2" s="9"/>
      <c r="L2" s="9"/>
    </row>
    <row r="3" customFormat="false" ht="12.75" hidden="false" customHeight="false" outlineLevel="0" collapsed="false">
      <c r="A3" s="19"/>
      <c r="B3" s="19" t="s">
        <v>121</v>
      </c>
      <c r="C3" s="30"/>
      <c r="D3" s="144" t="s">
        <v>122</v>
      </c>
      <c r="E3" s="100"/>
      <c r="F3" s="9"/>
      <c r="G3" s="19"/>
      <c r="H3" s="19"/>
      <c r="I3" s="30"/>
      <c r="J3" s="144"/>
      <c r="K3" s="100"/>
      <c r="L3" s="9"/>
    </row>
    <row r="4" customFormat="false" ht="12.75" hidden="false" customHeight="false" outlineLevel="0" collapsed="false">
      <c r="A4" s="24" t="s">
        <v>113</v>
      </c>
      <c r="B4" s="101" t="s">
        <v>114</v>
      </c>
      <c r="C4" s="145" t="s">
        <v>115</v>
      </c>
      <c r="D4" s="101" t="s">
        <v>114</v>
      </c>
      <c r="E4" s="101" t="s">
        <v>115</v>
      </c>
      <c r="F4" s="9"/>
      <c r="G4" s="24"/>
      <c r="H4" s="101"/>
      <c r="I4" s="145"/>
      <c r="J4" s="101"/>
      <c r="K4" s="101"/>
      <c r="L4" s="9"/>
    </row>
    <row r="5" customFormat="false" ht="12.75" hidden="false" customHeight="false" outlineLevel="0" collapsed="false">
      <c r="A5" s="146" t="n">
        <v>1</v>
      </c>
      <c r="B5" s="108" t="n">
        <v>-68011</v>
      </c>
      <c r="C5" s="108" t="n">
        <v>-37500</v>
      </c>
      <c r="D5" s="108" t="n">
        <v>-90</v>
      </c>
      <c r="E5" s="108" t="n">
        <v>-29410</v>
      </c>
      <c r="F5" s="108" t="n">
        <f aca="false">+C5-B5+E5-D5</f>
        <v>1191</v>
      </c>
      <c r="G5" s="146"/>
      <c r="H5" s="108"/>
      <c r="I5" s="108"/>
      <c r="J5" s="108"/>
      <c r="K5" s="108"/>
      <c r="L5" s="108"/>
    </row>
    <row r="6" customFormat="false" ht="12.75" hidden="false" customHeight="false" outlineLevel="0" collapsed="false">
      <c r="A6" s="146" t="n">
        <v>2</v>
      </c>
      <c r="B6" s="108" t="n">
        <v>-49057</v>
      </c>
      <c r="C6" s="108" t="n">
        <v>-20000</v>
      </c>
      <c r="D6" s="108"/>
      <c r="E6" s="108" t="n">
        <v>-27910</v>
      </c>
      <c r="F6" s="108" t="n">
        <f aca="false">+C6-B6+E6-D6</f>
        <v>1147</v>
      </c>
      <c r="G6" s="146"/>
      <c r="H6" s="108"/>
      <c r="I6" s="108"/>
      <c r="J6" s="108"/>
      <c r="K6" s="108"/>
      <c r="L6" s="108"/>
    </row>
    <row r="7" customFormat="false" ht="12.75" hidden="false" customHeight="false" outlineLevel="0" collapsed="false">
      <c r="A7" s="146" t="n">
        <v>3</v>
      </c>
      <c r="B7" s="108" t="n">
        <v>-48415</v>
      </c>
      <c r="C7" s="108" t="n">
        <v>-11000</v>
      </c>
      <c r="D7" s="108"/>
      <c r="E7" s="108" t="n">
        <v>-36910</v>
      </c>
      <c r="F7" s="108" t="n">
        <f aca="false">+C7-B7+E7-D7</f>
        <v>505</v>
      </c>
      <c r="G7" s="146"/>
      <c r="H7" s="108"/>
      <c r="I7" s="108"/>
      <c r="J7" s="108"/>
      <c r="K7" s="108"/>
      <c r="L7" s="108"/>
    </row>
    <row r="8" customFormat="false" ht="12.75" hidden="false" customHeight="false" outlineLevel="0" collapsed="false">
      <c r="A8" s="146" t="n">
        <v>4</v>
      </c>
      <c r="B8" s="108" t="n">
        <v>-29951</v>
      </c>
      <c r="C8" s="108"/>
      <c r="D8" s="108"/>
      <c r="E8" s="108" t="n">
        <v>-29410</v>
      </c>
      <c r="F8" s="108" t="n">
        <f aca="false">+C8-B8+E8-D8</f>
        <v>541</v>
      </c>
      <c r="G8" s="146"/>
      <c r="H8" s="108"/>
      <c r="I8" s="108"/>
      <c r="J8" s="108"/>
      <c r="K8" s="108"/>
      <c r="L8" s="108"/>
    </row>
    <row r="9" customFormat="false" ht="12.75" hidden="false" customHeight="false" outlineLevel="0" collapsed="false">
      <c r="A9" s="146" t="n">
        <v>5</v>
      </c>
      <c r="B9" s="108" t="n">
        <v>-29999</v>
      </c>
      <c r="C9" s="108"/>
      <c r="D9" s="108"/>
      <c r="E9" s="108" t="n">
        <v>-29410</v>
      </c>
      <c r="F9" s="108" t="n">
        <f aca="false">+C9-B9+E9-D9</f>
        <v>589</v>
      </c>
      <c r="G9" s="146"/>
      <c r="H9" s="108"/>
      <c r="I9" s="108"/>
      <c r="J9" s="108"/>
      <c r="K9" s="108"/>
      <c r="L9" s="108"/>
    </row>
    <row r="10" customFormat="false" ht="12.75" hidden="false" customHeight="false" outlineLevel="0" collapsed="false">
      <c r="A10" s="146" t="n">
        <v>6</v>
      </c>
      <c r="B10" s="108" t="n">
        <v>-29297</v>
      </c>
      <c r="C10" s="108"/>
      <c r="D10" s="108"/>
      <c r="E10" s="108" t="n">
        <v>-28307</v>
      </c>
      <c r="F10" s="108" t="n">
        <f aca="false">+C10-B10+E10-D10</f>
        <v>990</v>
      </c>
      <c r="G10" s="146"/>
      <c r="H10" s="108"/>
      <c r="I10" s="108"/>
      <c r="J10" s="108"/>
      <c r="K10" s="108"/>
      <c r="L10" s="108"/>
    </row>
    <row r="11" customFormat="false" ht="12.75" hidden="false" customHeight="false" outlineLevel="0" collapsed="false">
      <c r="A11" s="146" t="n">
        <v>7</v>
      </c>
      <c r="B11" s="108" t="n">
        <v>-64051</v>
      </c>
      <c r="C11" s="108" t="n">
        <v>-11000</v>
      </c>
      <c r="D11" s="108"/>
      <c r="E11" s="108" t="n">
        <v>-51049</v>
      </c>
      <c r="F11" s="108" t="n">
        <f aca="false">+C11-B11+E11-D11</f>
        <v>2002</v>
      </c>
      <c r="G11" s="146"/>
      <c r="H11" s="108"/>
      <c r="I11" s="108"/>
      <c r="J11" s="108"/>
      <c r="K11" s="108"/>
      <c r="L11" s="108"/>
    </row>
    <row r="12" customFormat="false" ht="12.75" hidden="false" customHeight="false" outlineLevel="0" collapsed="false">
      <c r="A12" s="146" t="n">
        <v>8</v>
      </c>
      <c r="B12" s="108" t="n">
        <v>-35246</v>
      </c>
      <c r="C12" s="108"/>
      <c r="D12" s="108"/>
      <c r="E12" s="108" t="n">
        <v>-34257</v>
      </c>
      <c r="F12" s="108" t="n">
        <f aca="false">+C12-B12+E12-D12</f>
        <v>989</v>
      </c>
      <c r="G12" s="146"/>
      <c r="H12" s="108"/>
      <c r="I12" s="108"/>
      <c r="J12" s="108"/>
      <c r="K12" s="108"/>
      <c r="L12" s="108"/>
    </row>
    <row r="13" customFormat="false" ht="12.75" hidden="false" customHeight="false" outlineLevel="0" collapsed="false">
      <c r="A13" s="146" t="n">
        <v>9</v>
      </c>
      <c r="B13" s="108" t="n">
        <v>-61903</v>
      </c>
      <c r="C13" s="108" t="n">
        <v>-10000</v>
      </c>
      <c r="D13" s="108"/>
      <c r="E13" s="108" t="n">
        <v>-49974</v>
      </c>
      <c r="F13" s="108" t="n">
        <f aca="false">+C13-B13+E13-D13</f>
        <v>1929</v>
      </c>
      <c r="G13" s="146"/>
      <c r="H13" s="108"/>
      <c r="I13" s="108"/>
      <c r="J13" s="108"/>
      <c r="K13" s="108"/>
      <c r="L13" s="108"/>
    </row>
    <row r="14" customFormat="false" ht="12.75" hidden="false" customHeight="false" outlineLevel="0" collapsed="false">
      <c r="A14" s="146" t="n">
        <v>10</v>
      </c>
      <c r="B14" s="108" t="n">
        <v>-63569</v>
      </c>
      <c r="C14" s="108" t="n">
        <v>-17500</v>
      </c>
      <c r="D14" s="108"/>
      <c r="E14" s="108" t="n">
        <v>-44910</v>
      </c>
      <c r="F14" s="108" t="n">
        <f aca="false">+C14-B14+E14-D14</f>
        <v>1159</v>
      </c>
      <c r="G14" s="146"/>
      <c r="H14" s="108"/>
      <c r="I14" s="108"/>
      <c r="J14" s="108"/>
      <c r="K14" s="108"/>
      <c r="L14" s="108"/>
    </row>
    <row r="15" customFormat="false" ht="12.75" hidden="false" customHeight="false" outlineLevel="0" collapsed="false">
      <c r="A15" s="146" t="n">
        <v>11</v>
      </c>
      <c r="B15" s="108" t="n">
        <v>-57587</v>
      </c>
      <c r="C15" s="108" t="n">
        <v>-27000</v>
      </c>
      <c r="D15" s="108"/>
      <c r="E15" s="108" t="n">
        <v>-28288</v>
      </c>
      <c r="F15" s="108" t="n">
        <f aca="false">+C15-B15+E15-D15</f>
        <v>2299</v>
      </c>
      <c r="G15" s="146"/>
      <c r="H15" s="108"/>
      <c r="I15" s="108"/>
      <c r="J15" s="108"/>
      <c r="K15" s="108"/>
      <c r="L15" s="108"/>
    </row>
    <row r="16" customFormat="false" ht="12.75" hidden="false" customHeight="false" outlineLevel="0" collapsed="false">
      <c r="A16" s="146" t="n">
        <v>12</v>
      </c>
      <c r="B16" s="108" t="n">
        <v>-57418</v>
      </c>
      <c r="C16" s="108" t="n">
        <v>-27000</v>
      </c>
      <c r="D16" s="108"/>
      <c r="E16" s="108" t="n">
        <v>-28592</v>
      </c>
      <c r="F16" s="108" t="n">
        <f aca="false">+C16-B16+E16-D16</f>
        <v>1826</v>
      </c>
      <c r="G16" s="146"/>
      <c r="H16" s="108"/>
      <c r="I16" s="108"/>
      <c r="J16" s="108"/>
      <c r="K16" s="108"/>
      <c r="L16" s="108"/>
    </row>
    <row r="17" customFormat="false" ht="12.75" hidden="false" customHeight="false" outlineLevel="0" collapsed="false">
      <c r="A17" s="146" t="n">
        <v>13</v>
      </c>
      <c r="B17" s="108" t="n">
        <v>-57225</v>
      </c>
      <c r="C17" s="108" t="n">
        <v>-27000</v>
      </c>
      <c r="D17" s="108"/>
      <c r="E17" s="108" t="n">
        <v>-28771</v>
      </c>
      <c r="F17" s="108" t="n">
        <f aca="false">+C17-B17+E17-D17</f>
        <v>1454</v>
      </c>
      <c r="G17" s="146"/>
      <c r="H17" s="108"/>
      <c r="I17" s="108"/>
      <c r="J17" s="108"/>
      <c r="K17" s="108"/>
      <c r="L17" s="108"/>
    </row>
    <row r="18" customFormat="false" ht="12.75" hidden="false" customHeight="false" outlineLevel="0" collapsed="false">
      <c r="A18" s="146" t="n">
        <v>14</v>
      </c>
      <c r="B18" s="108" t="n">
        <v>-88695</v>
      </c>
      <c r="C18" s="108" t="n">
        <v>-12000</v>
      </c>
      <c r="D18" s="108"/>
      <c r="E18" s="108" t="n">
        <v>-75910</v>
      </c>
      <c r="F18" s="108" t="n">
        <f aca="false">+C18-B18+E18-D18</f>
        <v>785</v>
      </c>
      <c r="G18" s="146"/>
      <c r="H18" s="108"/>
      <c r="I18" s="108"/>
      <c r="J18" s="108"/>
      <c r="K18" s="108"/>
      <c r="L18" s="108"/>
    </row>
    <row r="19" customFormat="false" ht="12.75" hidden="false" customHeight="false" outlineLevel="0" collapsed="false">
      <c r="A19" s="146" t="n">
        <v>15</v>
      </c>
      <c r="B19" s="108" t="n">
        <v>-79069</v>
      </c>
      <c r="C19" s="108" t="n">
        <v>-11998</v>
      </c>
      <c r="D19" s="108" t="n">
        <v>-23700</v>
      </c>
      <c r="E19" s="108" t="n">
        <v>-90257</v>
      </c>
      <c r="F19" s="108" t="n">
        <f aca="false">+C19-B19+E19-D19</f>
        <v>514</v>
      </c>
      <c r="G19" s="146"/>
      <c r="H19" s="108"/>
      <c r="I19" s="108"/>
      <c r="J19" s="108"/>
      <c r="K19" s="108"/>
      <c r="L19" s="108"/>
    </row>
    <row r="20" customFormat="false" ht="12.75" hidden="false" customHeight="false" outlineLevel="0" collapsed="false">
      <c r="A20" s="146" t="n">
        <v>16</v>
      </c>
      <c r="B20" s="108" t="n">
        <v>-46861</v>
      </c>
      <c r="C20" s="108" t="n">
        <v>-5000</v>
      </c>
      <c r="D20" s="108" t="n">
        <v>-44315</v>
      </c>
      <c r="E20" s="108" t="n">
        <v>-84512</v>
      </c>
      <c r="F20" s="108" t="n">
        <f aca="false">+C20-B20+E20-D20</f>
        <v>1664</v>
      </c>
      <c r="G20" s="146"/>
      <c r="H20" s="108"/>
      <c r="I20" s="108"/>
      <c r="J20" s="108"/>
      <c r="K20" s="108"/>
      <c r="L20" s="108"/>
    </row>
    <row r="21" customFormat="false" ht="12.75" hidden="false" customHeight="false" outlineLevel="0" collapsed="false">
      <c r="A21" s="146" t="n">
        <v>17</v>
      </c>
      <c r="B21" s="108" t="n">
        <v>-62441</v>
      </c>
      <c r="C21" s="108"/>
      <c r="D21" s="108"/>
      <c r="E21" s="108" t="n">
        <v>-60910</v>
      </c>
      <c r="F21" s="108" t="n">
        <f aca="false">+C21-B21+E21-D21</f>
        <v>1531</v>
      </c>
      <c r="G21" s="146"/>
      <c r="H21" s="108"/>
      <c r="I21" s="108"/>
      <c r="J21" s="108"/>
      <c r="K21" s="108"/>
      <c r="L21" s="108"/>
    </row>
    <row r="22" customFormat="false" ht="12.75" hidden="false" customHeight="false" outlineLevel="0" collapsed="false">
      <c r="A22" s="146" t="n">
        <v>18</v>
      </c>
      <c r="B22" s="108" t="n">
        <v>-81752</v>
      </c>
      <c r="C22" s="108" t="n">
        <v>-48000</v>
      </c>
      <c r="D22" s="108" t="n">
        <v>-65196</v>
      </c>
      <c r="E22" s="108" t="n">
        <v>-97157</v>
      </c>
      <c r="F22" s="108" t="n">
        <f aca="false">+C22-B22+E22-D22</f>
        <v>1791</v>
      </c>
      <c r="G22" s="146"/>
      <c r="H22" s="108"/>
      <c r="I22" s="108"/>
      <c r="J22" s="108"/>
      <c r="K22" s="108"/>
      <c r="L22" s="108"/>
    </row>
    <row r="23" customFormat="false" ht="12.75" hidden="false" customHeight="false" outlineLevel="0" collapsed="false">
      <c r="A23" s="146" t="n">
        <v>19</v>
      </c>
      <c r="B23" s="108" t="n">
        <v>-76011</v>
      </c>
      <c r="C23" s="108" t="n">
        <v>-48000</v>
      </c>
      <c r="D23" s="108" t="n">
        <v>-60094</v>
      </c>
      <c r="E23" s="108" t="n">
        <v>-88748</v>
      </c>
      <c r="F23" s="108" t="n">
        <f aca="false">+C23-B23+E23-D23</f>
        <v>-643</v>
      </c>
      <c r="G23" s="146"/>
      <c r="H23" s="108"/>
      <c r="I23" s="108"/>
      <c r="J23" s="108"/>
      <c r="K23" s="108"/>
      <c r="L23" s="108"/>
    </row>
    <row r="24" customFormat="false" ht="12.75" hidden="false" customHeight="false" outlineLevel="0" collapsed="false">
      <c r="A24" s="146" t="n">
        <v>20</v>
      </c>
      <c r="B24" s="108" t="n">
        <v>-84945</v>
      </c>
      <c r="C24" s="108" t="n">
        <v>-48000</v>
      </c>
      <c r="D24" s="108" t="n">
        <v>-68581</v>
      </c>
      <c r="E24" s="108" t="n">
        <v>-102023</v>
      </c>
      <c r="F24" s="108" t="n">
        <f aca="false">+C24-B24+E24-D24</f>
        <v>3503</v>
      </c>
      <c r="G24" s="146"/>
      <c r="H24" s="108"/>
      <c r="I24" s="108"/>
      <c r="J24" s="108"/>
      <c r="K24" s="108"/>
      <c r="L24" s="108"/>
    </row>
    <row r="25" customFormat="false" ht="12.75" hidden="false" customHeight="false" outlineLevel="0" collapsed="false">
      <c r="A25" s="146" t="n">
        <v>21</v>
      </c>
      <c r="B25" s="108" t="n">
        <v>-34415</v>
      </c>
      <c r="C25" s="108" t="n">
        <v>-30000</v>
      </c>
      <c r="D25" s="108" t="n">
        <v>-43468</v>
      </c>
      <c r="E25" s="108" t="n">
        <v>-49989</v>
      </c>
      <c r="F25" s="108" t="n">
        <f aca="false">+C25-B25+E25-D25</f>
        <v>-2106</v>
      </c>
      <c r="G25" s="146"/>
      <c r="H25" s="108"/>
      <c r="I25" s="108"/>
      <c r="J25" s="108"/>
      <c r="K25" s="108"/>
      <c r="L25" s="108"/>
    </row>
    <row r="26" customFormat="false" ht="12.75" hidden="false" customHeight="false" outlineLevel="0" collapsed="false">
      <c r="A26" s="146" t="n">
        <v>22</v>
      </c>
      <c r="B26" s="108" t="n">
        <v>-75971</v>
      </c>
      <c r="C26" s="108" t="n">
        <v>-37000</v>
      </c>
      <c r="D26" s="108"/>
      <c r="E26" s="108" t="n">
        <v>-36910</v>
      </c>
      <c r="F26" s="108" t="n">
        <f aca="false">+C26-B26+E26-D26</f>
        <v>2061</v>
      </c>
      <c r="G26" s="146"/>
      <c r="H26" s="108"/>
      <c r="I26" s="108"/>
      <c r="J26" s="108"/>
      <c r="K26" s="108"/>
      <c r="L26" s="108"/>
    </row>
    <row r="27" customFormat="false" ht="12.75" hidden="false" customHeight="false" outlineLevel="0" collapsed="false">
      <c r="A27" s="146" t="n">
        <v>23</v>
      </c>
      <c r="B27" s="108" t="n">
        <v>-55320</v>
      </c>
      <c r="C27" s="108" t="n">
        <v>-21996</v>
      </c>
      <c r="D27" s="108"/>
      <c r="E27" s="108" t="n">
        <v>-31910</v>
      </c>
      <c r="F27" s="108" t="n">
        <f aca="false">+C27-B27+E27-D27</f>
        <v>1414</v>
      </c>
      <c r="G27" s="146"/>
      <c r="H27" s="108"/>
      <c r="I27" s="108"/>
      <c r="J27" s="108"/>
      <c r="K27" s="108"/>
      <c r="L27" s="108"/>
    </row>
    <row r="28" customFormat="false" ht="12.75" hidden="false" customHeight="false" outlineLevel="0" collapsed="false">
      <c r="A28" s="146" t="n">
        <v>24</v>
      </c>
      <c r="B28" s="108" t="n">
        <v>-83890</v>
      </c>
      <c r="C28" s="108" t="n">
        <v>-16199</v>
      </c>
      <c r="D28" s="108"/>
      <c r="E28" s="108" t="n">
        <v>-65075</v>
      </c>
      <c r="F28" s="108" t="n">
        <f aca="false">+C28-B28+E28-D28</f>
        <v>2616</v>
      </c>
      <c r="G28" s="146"/>
      <c r="H28" s="108"/>
      <c r="I28" s="108"/>
      <c r="J28" s="108"/>
      <c r="K28" s="108"/>
      <c r="L28" s="108"/>
    </row>
    <row r="29" customFormat="false" ht="12.75" hidden="false" customHeight="false" outlineLevel="0" collapsed="false">
      <c r="A29" s="146" t="n">
        <v>25</v>
      </c>
      <c r="B29" s="108" t="n">
        <v>-52746</v>
      </c>
      <c r="C29" s="108" t="n">
        <v>-12063</v>
      </c>
      <c r="D29" s="108"/>
      <c r="E29" s="108" t="n">
        <v>-39275</v>
      </c>
      <c r="F29" s="108" t="n">
        <f aca="false">+C29-B29+E29-D29</f>
        <v>1408</v>
      </c>
      <c r="G29" s="146"/>
      <c r="H29" s="108"/>
      <c r="I29" s="108"/>
      <c r="J29" s="108"/>
      <c r="K29" s="108"/>
      <c r="L29" s="108"/>
    </row>
    <row r="30" customFormat="false" ht="12.75" hidden="false" customHeight="false" outlineLevel="0" collapsed="false">
      <c r="A30" s="146" t="n">
        <v>26</v>
      </c>
      <c r="B30" s="108" t="n">
        <v>-52978</v>
      </c>
      <c r="C30" s="108" t="n">
        <v>-12063</v>
      </c>
      <c r="D30" s="108"/>
      <c r="E30" s="108" t="n">
        <v>-38678</v>
      </c>
      <c r="F30" s="108" t="n">
        <f aca="false">+C30-B30+E30-D30</f>
        <v>2237</v>
      </c>
      <c r="G30" s="146"/>
      <c r="H30" s="108"/>
      <c r="I30" s="108"/>
      <c r="J30" s="108"/>
      <c r="K30" s="108"/>
      <c r="L30" s="108"/>
    </row>
    <row r="31" customFormat="false" ht="12.75" hidden="false" customHeight="false" outlineLevel="0" collapsed="false">
      <c r="A31" s="146" t="n">
        <v>27</v>
      </c>
      <c r="B31" s="108" t="n">
        <v>-52673</v>
      </c>
      <c r="C31" s="108" t="n">
        <v>-12063</v>
      </c>
      <c r="D31" s="108"/>
      <c r="E31" s="108" t="n">
        <v>-39275</v>
      </c>
      <c r="F31" s="108" t="n">
        <f aca="false">+C31-B31+E31-D31</f>
        <v>1335</v>
      </c>
      <c r="G31" s="146"/>
      <c r="H31" s="108"/>
      <c r="I31" s="108"/>
      <c r="J31" s="108"/>
      <c r="K31" s="108"/>
      <c r="L31" s="108"/>
    </row>
    <row r="32" customFormat="false" ht="12.75" hidden="false" customHeight="false" outlineLevel="0" collapsed="false">
      <c r="A32" s="146" t="n">
        <v>28</v>
      </c>
      <c r="B32" s="108"/>
      <c r="C32" s="108"/>
      <c r="D32" s="108"/>
      <c r="E32" s="108"/>
      <c r="F32" s="108" t="n">
        <f aca="false">+C32-B32+E32-D32</f>
        <v>0</v>
      </c>
      <c r="G32" s="146"/>
      <c r="H32" s="108"/>
      <c r="I32" s="108"/>
      <c r="J32" s="108"/>
      <c r="K32" s="108"/>
      <c r="L32" s="108"/>
    </row>
    <row r="33" customFormat="false" ht="12.75" hidden="false" customHeight="false" outlineLevel="0" collapsed="false">
      <c r="A33" s="146" t="n">
        <v>29</v>
      </c>
      <c r="B33" s="108"/>
      <c r="C33" s="108"/>
      <c r="D33" s="108"/>
      <c r="E33" s="108"/>
      <c r="F33" s="108" t="n">
        <f aca="false">+C33-B33+E33-D33</f>
        <v>0</v>
      </c>
      <c r="G33" s="146"/>
      <c r="H33" s="108"/>
      <c r="I33" s="108"/>
      <c r="J33" s="108"/>
      <c r="K33" s="108"/>
      <c r="L33" s="108"/>
    </row>
    <row r="34" customFormat="false" ht="12.75" hidden="false" customHeight="false" outlineLevel="0" collapsed="false">
      <c r="A34" s="146" t="n">
        <v>30</v>
      </c>
      <c r="B34" s="108"/>
      <c r="C34" s="108"/>
      <c r="D34" s="108"/>
      <c r="E34" s="108"/>
      <c r="F34" s="108" t="n">
        <f aca="false">+C34-B34+E34-D34</f>
        <v>0</v>
      </c>
      <c r="G34" s="146"/>
      <c r="H34" s="108"/>
      <c r="I34" s="108"/>
      <c r="J34" s="108"/>
      <c r="K34" s="108"/>
      <c r="L34" s="108"/>
    </row>
    <row r="35" customFormat="false" ht="12.75" hidden="false" customHeight="false" outlineLevel="0" collapsed="false">
      <c r="A35" s="146" t="n">
        <v>31</v>
      </c>
      <c r="B35" s="147"/>
      <c r="C35" s="147"/>
      <c r="D35" s="108"/>
      <c r="E35" s="147"/>
      <c r="F35" s="108" t="n">
        <f aca="false">+C35-B35+E35-D35</f>
        <v>0</v>
      </c>
      <c r="G35" s="146"/>
      <c r="H35" s="147"/>
      <c r="I35" s="147"/>
      <c r="J35" s="108"/>
      <c r="K35" s="147"/>
      <c r="L35" s="108"/>
    </row>
    <row r="36" customFormat="false" ht="12.75" hidden="false" customHeight="false" outlineLevel="0" collapsed="false">
      <c r="A36" s="146"/>
      <c r="B36" s="108" t="n">
        <f aca="false">SUM(B5:B35)</f>
        <v>-1579496</v>
      </c>
      <c r="C36" s="148" t="n">
        <f aca="false">SUM(C5:C35)</f>
        <v>-502382</v>
      </c>
      <c r="D36" s="108" t="n">
        <f aca="false">SUM(D5:D35)</f>
        <v>-305444</v>
      </c>
      <c r="E36" s="148" t="n">
        <f aca="false">SUM(E5:E35)</f>
        <v>-1347827</v>
      </c>
      <c r="F36" s="108" t="n">
        <f aca="false">SUM(F5:F35)</f>
        <v>34731</v>
      </c>
      <c r="G36" s="146"/>
      <c r="H36" s="108"/>
      <c r="I36" s="148"/>
      <c r="J36" s="108"/>
      <c r="K36" s="148"/>
      <c r="L36" s="108"/>
    </row>
    <row r="37" customFormat="false" ht="12.75" hidden="false" customHeight="false" outlineLevel="0" collapsed="false">
      <c r="A37" s="149"/>
      <c r="B37" s="9"/>
      <c r="C37" s="108" t="n">
        <f aca="false">+B36-C36</f>
        <v>-1077114</v>
      </c>
      <c r="D37" s="108"/>
      <c r="E37" s="108" t="n">
        <f aca="false">+D36-E36</f>
        <v>1042383</v>
      </c>
      <c r="F37" s="120"/>
      <c r="G37" s="149"/>
      <c r="H37" s="9"/>
      <c r="I37" s="108"/>
      <c r="J37" s="108"/>
      <c r="K37" s="108"/>
      <c r="L37" s="120"/>
    </row>
    <row r="38" customFormat="false" ht="12.75" hidden="false" customHeight="false" outlineLevel="0" collapsed="false">
      <c r="A38" s="9"/>
      <c r="B38" s="9"/>
      <c r="C38" s="30"/>
      <c r="D38" s="79"/>
      <c r="E38" s="79"/>
      <c r="F38" s="150"/>
      <c r="G38" s="9"/>
      <c r="H38" s="9"/>
      <c r="I38" s="30"/>
      <c r="J38" s="79"/>
      <c r="K38" s="79"/>
      <c r="L38" s="150"/>
    </row>
    <row r="39" customFormat="false" ht="12.75" hidden="false" customHeight="false" outlineLevel="0" collapsed="false">
      <c r="A39" s="9"/>
      <c r="B39" s="9"/>
      <c r="C39" s="108"/>
      <c r="D39" s="16"/>
      <c r="E39" s="151"/>
      <c r="F39" s="108"/>
      <c r="G39" s="9"/>
      <c r="H39" s="9"/>
      <c r="I39" s="108"/>
      <c r="J39" s="16"/>
      <c r="K39" s="151"/>
      <c r="L39" s="108"/>
    </row>
    <row r="40" customFormat="false" ht="12.75" hidden="false" customHeight="false" outlineLevel="0" collapsed="false">
      <c r="A40" s="9"/>
      <c r="B40" s="19"/>
      <c r="C40" s="30"/>
      <c r="D40" s="16"/>
      <c r="E40" s="16"/>
      <c r="F40" s="108"/>
      <c r="G40" s="9"/>
      <c r="H40" s="9"/>
      <c r="I40" s="30"/>
      <c r="J40" s="16"/>
      <c r="K40" s="16"/>
      <c r="L40" s="108"/>
    </row>
    <row r="41" customFormat="false" ht="12.75" hidden="false" customHeight="false" outlineLevel="0" collapsed="false">
      <c r="A41" s="9"/>
      <c r="B41" s="152" t="n">
        <v>37103</v>
      </c>
      <c r="C41" s="30"/>
      <c r="D41" s="153"/>
      <c r="E41" s="153"/>
      <c r="F41" s="154" t="n">
        <v>36339</v>
      </c>
      <c r="G41" s="9"/>
      <c r="H41" s="124"/>
      <c r="I41" s="30"/>
      <c r="J41" s="153"/>
      <c r="K41" s="153"/>
      <c r="L41" s="108"/>
    </row>
    <row r="42" customFormat="false" ht="12.75" hidden="false" customHeight="false" outlineLevel="0" collapsed="false">
      <c r="A42" s="9"/>
      <c r="B42" s="152" t="n">
        <v>37130</v>
      </c>
      <c r="C42" s="30"/>
      <c r="D42" s="153"/>
      <c r="E42" s="153"/>
      <c r="F42" s="108" t="n">
        <f aca="false">+F41+F36</f>
        <v>71070</v>
      </c>
      <c r="G42" s="9"/>
      <c r="H42" s="124"/>
      <c r="I42" s="30"/>
      <c r="J42" s="153"/>
      <c r="K42" s="153"/>
      <c r="L42" s="108"/>
    </row>
    <row r="43" customFormat="false" ht="12.75" hidden="false" customHeight="false" outlineLevel="0" collapsed="false">
      <c r="B43" s="119"/>
      <c r="F43" s="155"/>
      <c r="L43" s="155"/>
    </row>
    <row r="46" customFormat="false" ht="12.75" hidden="false" customHeight="false" outlineLevel="0" collapsed="false">
      <c r="A46" s="9" t="s">
        <v>120</v>
      </c>
      <c r="B46" s="9"/>
      <c r="C46" s="9"/>
      <c r="D46" s="16"/>
    </row>
    <row r="47" customFormat="false" ht="12.75" hidden="false" customHeight="false" outlineLevel="0" collapsed="false">
      <c r="A47" s="124" t="n">
        <f aca="false">+B41</f>
        <v>37103</v>
      </c>
      <c r="B47" s="9"/>
      <c r="C47" s="9"/>
      <c r="D47" s="58" t="n">
        <v>-29968.41</v>
      </c>
    </row>
    <row r="48" customFormat="false" ht="12.75" hidden="false" customHeight="false" outlineLevel="0" collapsed="false">
      <c r="A48" s="124" t="n">
        <f aca="false">+B42</f>
        <v>37130</v>
      </c>
      <c r="B48" s="9"/>
      <c r="C48" s="9"/>
      <c r="D48" s="126" t="n">
        <f aca="false">+F36*'by type'!J4</f>
        <v>97594.11</v>
      </c>
    </row>
    <row r="49" customFormat="false" ht="12.75" hidden="false" customHeight="false" outlineLevel="0" collapsed="false">
      <c r="A49" s="9"/>
      <c r="B49" s="9"/>
      <c r="C49" s="9"/>
      <c r="D49" s="58" t="n">
        <f aca="false">+D48+D47</f>
        <v>67625.7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51" activeCellId="3" sqref="C33 C12 A41 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6" t="n">
        <v>56698</v>
      </c>
      <c r="B1" s="157"/>
    </row>
    <row r="3" customFormat="false" ht="12.75" hidden="false" customHeight="false" outlineLevel="0" collapsed="false">
      <c r="A3" s="75" t="s">
        <v>113</v>
      </c>
      <c r="B3" s="101" t="s">
        <v>114</v>
      </c>
      <c r="C3" s="101" t="s">
        <v>115</v>
      </c>
    </row>
    <row r="4" customFormat="false" ht="12.75" hidden="false" customHeight="false" outlineLevel="0" collapsed="false">
      <c r="A4" s="107" t="n">
        <v>1</v>
      </c>
      <c r="B4" s="108" t="n">
        <v>-151076</v>
      </c>
      <c r="C4" s="108" t="n">
        <v>-150326</v>
      </c>
      <c r="D4" s="120" t="n">
        <f aca="false">+C4-B4</f>
        <v>750</v>
      </c>
    </row>
    <row r="5" customFormat="false" ht="12.75" hidden="false" customHeight="false" outlineLevel="0" collapsed="false">
      <c r="A5" s="107" t="n">
        <v>2</v>
      </c>
      <c r="B5" s="108" t="n">
        <v>-186416</v>
      </c>
      <c r="C5" s="108" t="n">
        <v>-184781</v>
      </c>
      <c r="D5" s="120" t="n">
        <f aca="false">+C5-B5</f>
        <v>1635</v>
      </c>
    </row>
    <row r="6" customFormat="false" ht="12.75" hidden="false" customHeight="false" outlineLevel="0" collapsed="false">
      <c r="A6" s="107" t="n">
        <v>3</v>
      </c>
      <c r="B6" s="108" t="n">
        <v>-210011</v>
      </c>
      <c r="C6" s="108" t="n">
        <v>-208808</v>
      </c>
      <c r="D6" s="120" t="n">
        <f aca="false">+C6-B6</f>
        <v>1203</v>
      </c>
    </row>
    <row r="7" customFormat="false" ht="12.75" hidden="false" customHeight="false" outlineLevel="0" collapsed="false">
      <c r="A7" s="107" t="n">
        <v>4</v>
      </c>
      <c r="B7" s="108" t="n">
        <v>-245094</v>
      </c>
      <c r="C7" s="108" t="n">
        <v>-241726</v>
      </c>
      <c r="D7" s="120" t="n">
        <f aca="false">+C7-B7</f>
        <v>3368</v>
      </c>
    </row>
    <row r="8" customFormat="false" ht="12.75" hidden="false" customHeight="false" outlineLevel="0" collapsed="false">
      <c r="A8" s="107" t="n">
        <v>5</v>
      </c>
      <c r="B8" s="108" t="n">
        <v>-236194</v>
      </c>
      <c r="C8" s="108" t="n">
        <v>-235157</v>
      </c>
      <c r="D8" s="120" t="n">
        <f aca="false">+C8-B8</f>
        <v>1037</v>
      </c>
    </row>
    <row r="9" customFormat="false" ht="12.75" hidden="false" customHeight="false" outlineLevel="0" collapsed="false">
      <c r="A9" s="107" t="n">
        <v>6</v>
      </c>
      <c r="B9" s="108" t="n">
        <v>-172231</v>
      </c>
      <c r="C9" s="108" t="n">
        <v>-181280</v>
      </c>
      <c r="D9" s="120" t="n">
        <f aca="false">+C9-B9</f>
        <v>-9049</v>
      </c>
    </row>
    <row r="10" customFormat="false" ht="12.75" hidden="false" customHeight="false" outlineLevel="0" collapsed="false">
      <c r="A10" s="107" t="n">
        <v>7</v>
      </c>
      <c r="B10" s="108" t="n">
        <v>-117605</v>
      </c>
      <c r="C10" s="108" t="n">
        <v>-116400</v>
      </c>
      <c r="D10" s="120" t="n">
        <f aca="false">+C10-B10</f>
        <v>1205</v>
      </c>
    </row>
    <row r="11" customFormat="false" ht="12.75" hidden="false" customHeight="false" outlineLevel="0" collapsed="false">
      <c r="A11" s="107" t="n">
        <v>8</v>
      </c>
      <c r="B11" s="108" t="n">
        <v>-109940</v>
      </c>
      <c r="C11" s="108" t="n">
        <v>-109486</v>
      </c>
      <c r="D11" s="120" t="n">
        <f aca="false">+C11-B11</f>
        <v>454</v>
      </c>
    </row>
    <row r="12" customFormat="false" ht="12.75" hidden="false" customHeight="false" outlineLevel="0" collapsed="false">
      <c r="A12" s="107" t="n">
        <v>9</v>
      </c>
      <c r="B12" s="108" t="n">
        <v>-138076</v>
      </c>
      <c r="C12" s="108" t="n">
        <v>-137436</v>
      </c>
      <c r="D12" s="120" t="n">
        <f aca="false">+C12-B12</f>
        <v>640</v>
      </c>
    </row>
    <row r="13" customFormat="false" ht="12.75" hidden="false" customHeight="false" outlineLevel="0" collapsed="false">
      <c r="A13" s="107" t="n">
        <v>10</v>
      </c>
      <c r="B13" s="108" t="n">
        <v>-158047</v>
      </c>
      <c r="C13" s="108" t="n">
        <v>-156889</v>
      </c>
      <c r="D13" s="120" t="n">
        <f aca="false">+C13-B13</f>
        <v>1158</v>
      </c>
    </row>
    <row r="14" customFormat="false" ht="12.75" hidden="false" customHeight="false" outlineLevel="0" collapsed="false">
      <c r="A14" s="107" t="n">
        <v>11</v>
      </c>
      <c r="B14" s="108" t="n">
        <v>-221811</v>
      </c>
      <c r="C14" s="108" t="n">
        <v>-219321</v>
      </c>
      <c r="D14" s="120" t="n">
        <f aca="false">+C14-B14</f>
        <v>2490</v>
      </c>
    </row>
    <row r="15" customFormat="false" ht="12.75" hidden="false" customHeight="false" outlineLevel="0" collapsed="false">
      <c r="A15" s="107" t="n">
        <v>12</v>
      </c>
      <c r="B15" s="108" t="n">
        <v>-161285</v>
      </c>
      <c r="C15" s="108" t="n">
        <v>-160322</v>
      </c>
      <c r="D15" s="120" t="n">
        <f aca="false">+C15-B15</f>
        <v>963</v>
      </c>
    </row>
    <row r="16" customFormat="false" ht="12.75" hidden="false" customHeight="false" outlineLevel="0" collapsed="false">
      <c r="A16" s="107" t="n">
        <v>13</v>
      </c>
      <c r="B16" s="108" t="n">
        <v>-180446</v>
      </c>
      <c r="C16" s="108" t="n">
        <v>-185322</v>
      </c>
      <c r="D16" s="120" t="n">
        <f aca="false">+C16-B16</f>
        <v>-4876</v>
      </c>
    </row>
    <row r="17" customFormat="false" ht="12.75" hidden="false" customHeight="false" outlineLevel="0" collapsed="false">
      <c r="A17" s="107" t="n">
        <v>14</v>
      </c>
      <c r="B17" s="108" t="n">
        <v>-179929</v>
      </c>
      <c r="C17" s="108" t="n">
        <v>-178986</v>
      </c>
      <c r="D17" s="120" t="n">
        <f aca="false">+C17-B17</f>
        <v>943</v>
      </c>
    </row>
    <row r="18" customFormat="false" ht="12.75" hidden="false" customHeight="false" outlineLevel="0" collapsed="false">
      <c r="A18" s="107" t="n">
        <v>15</v>
      </c>
      <c r="B18" s="108" t="n">
        <v>-198888</v>
      </c>
      <c r="C18" s="108" t="n">
        <v>-198260</v>
      </c>
      <c r="D18" s="120" t="n">
        <f aca="false">+C18-B18</f>
        <v>628</v>
      </c>
    </row>
    <row r="19" customFormat="false" ht="12.75" hidden="false" customHeight="false" outlineLevel="0" collapsed="false">
      <c r="A19" s="107" t="n">
        <v>16</v>
      </c>
      <c r="B19" s="108" t="n">
        <v>-201390</v>
      </c>
      <c r="C19" s="108" t="n">
        <v>-202819</v>
      </c>
      <c r="D19" s="120" t="n">
        <f aca="false">+C19-B19</f>
        <v>-1429</v>
      </c>
    </row>
    <row r="20" customFormat="false" ht="12.75" hidden="false" customHeight="false" outlineLevel="0" collapsed="false">
      <c r="A20" s="107" t="n">
        <v>17</v>
      </c>
      <c r="B20" s="108" t="n">
        <v>-221368</v>
      </c>
      <c r="C20" s="108" t="n">
        <v>-219862</v>
      </c>
      <c r="D20" s="120" t="n">
        <f aca="false">+C20-B20</f>
        <v>1506</v>
      </c>
    </row>
    <row r="21" customFormat="false" ht="12.75" hidden="false" customHeight="false" outlineLevel="0" collapsed="false">
      <c r="A21" s="107" t="n">
        <v>18</v>
      </c>
      <c r="B21" s="108" t="n">
        <v>-246242</v>
      </c>
      <c r="C21" s="108" t="n">
        <v>-245186</v>
      </c>
      <c r="D21" s="120" t="n">
        <f aca="false">+C21-B21</f>
        <v>1056</v>
      </c>
    </row>
    <row r="22" customFormat="false" ht="12.75" hidden="false" customHeight="false" outlineLevel="0" collapsed="false">
      <c r="A22" s="107" t="n">
        <v>19</v>
      </c>
      <c r="B22" s="108" t="n">
        <v>-212136</v>
      </c>
      <c r="C22" s="108" t="n">
        <v>-211394</v>
      </c>
      <c r="D22" s="120" t="n">
        <f aca="false">+C22-B22</f>
        <v>742</v>
      </c>
    </row>
    <row r="23" customFormat="false" ht="12.75" hidden="false" customHeight="false" outlineLevel="0" collapsed="false">
      <c r="A23" s="107" t="n">
        <v>20</v>
      </c>
      <c r="B23" s="108" t="n">
        <v>-189598</v>
      </c>
      <c r="C23" s="108" t="n">
        <v>-188009</v>
      </c>
      <c r="D23" s="120" t="n">
        <f aca="false">+C23-B23</f>
        <v>1589</v>
      </c>
    </row>
    <row r="24" customFormat="false" ht="12.75" hidden="false" customHeight="false" outlineLevel="0" collapsed="false">
      <c r="A24" s="107" t="n">
        <v>21</v>
      </c>
      <c r="B24" s="108" t="n">
        <v>-122945</v>
      </c>
      <c r="C24" s="108" t="n">
        <v>-120841</v>
      </c>
      <c r="D24" s="120" t="n">
        <f aca="false">+C24-B24</f>
        <v>2104</v>
      </c>
    </row>
    <row r="25" customFormat="false" ht="12.75" hidden="false" customHeight="false" outlineLevel="0" collapsed="false">
      <c r="A25" s="107" t="n">
        <v>22</v>
      </c>
      <c r="B25" s="108" t="n">
        <v>-180542</v>
      </c>
      <c r="C25" s="108" t="n">
        <v>-179917</v>
      </c>
      <c r="D25" s="120" t="n">
        <f aca="false">+C25-B25</f>
        <v>625</v>
      </c>
    </row>
    <row r="26" customFormat="false" ht="12.75" hidden="false" customHeight="false" outlineLevel="0" collapsed="false">
      <c r="A26" s="107" t="n">
        <v>23</v>
      </c>
      <c r="B26" s="108" t="n">
        <v>-162154</v>
      </c>
      <c r="C26" s="108" t="n">
        <v>-161135</v>
      </c>
      <c r="D26" s="120" t="n">
        <f aca="false">+C26-B26</f>
        <v>1019</v>
      </c>
    </row>
    <row r="27" customFormat="false" ht="12.75" hidden="false" customHeight="false" outlineLevel="0" collapsed="false">
      <c r="A27" s="107" t="n">
        <v>24</v>
      </c>
      <c r="B27" s="108" t="n">
        <v>-176509</v>
      </c>
      <c r="C27" s="108" t="n">
        <v>-174939</v>
      </c>
      <c r="D27" s="120" t="n">
        <f aca="false">+C27-B27</f>
        <v>1570</v>
      </c>
    </row>
    <row r="28" customFormat="false" ht="12.75" hidden="false" customHeight="false" outlineLevel="0" collapsed="false">
      <c r="A28" s="107" t="n">
        <v>25</v>
      </c>
      <c r="B28" s="108" t="n">
        <v>-174033</v>
      </c>
      <c r="C28" s="108" t="n">
        <v>-170727</v>
      </c>
      <c r="D28" s="120" t="n">
        <f aca="false">+C28-B28</f>
        <v>3306</v>
      </c>
    </row>
    <row r="29" customFormat="false" ht="12.75" hidden="false" customHeight="false" outlineLevel="0" collapsed="false">
      <c r="A29" s="107" t="n">
        <v>26</v>
      </c>
      <c r="B29" s="108" t="n">
        <v>-176005</v>
      </c>
      <c r="C29" s="108" t="n">
        <v>-174969</v>
      </c>
      <c r="D29" s="120" t="n">
        <f aca="false">+C29-B29</f>
        <v>1036</v>
      </c>
    </row>
    <row r="30" customFormat="false" ht="12.75" hidden="false" customHeight="false" outlineLevel="0" collapsed="false">
      <c r="A30" s="107" t="n">
        <v>27</v>
      </c>
      <c r="B30" s="108" t="n">
        <v>-177989</v>
      </c>
      <c r="C30" s="108" t="n">
        <v>-178155</v>
      </c>
      <c r="D30" s="120" t="n">
        <f aca="false">+C30-B30</f>
        <v>-166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-4907960</v>
      </c>
      <c r="C35" s="108" t="n">
        <f aca="false">SUM(C4:C34)</f>
        <v>-4892453</v>
      </c>
      <c r="D35" s="108" t="n">
        <f aca="false">SUM(D4:D34)</f>
        <v>15507</v>
      </c>
    </row>
    <row r="36" customFormat="false" ht="12.75" hidden="false" customHeight="false" outlineLevel="0" collapsed="false">
      <c r="A36" s="134"/>
      <c r="C36" s="120"/>
      <c r="D36" s="19"/>
    </row>
    <row r="37" customFormat="false" ht="12.75" hidden="false" customHeight="false" outlineLevel="0" collapsed="false">
      <c r="A37" s="18"/>
      <c r="D37" s="108"/>
    </row>
    <row r="38" customFormat="false" ht="12.75" hidden="false" customHeight="false" outlineLevel="0" collapsed="false">
      <c r="A38" s="158" t="n">
        <v>37103</v>
      </c>
      <c r="D38" s="154" t="n">
        <v>24900</v>
      </c>
    </row>
    <row r="39" customFormat="false" ht="12.75" hidden="false" customHeight="false" outlineLevel="0" collapsed="false">
      <c r="A39" s="18"/>
      <c r="D39" s="108"/>
    </row>
    <row r="40" customFormat="false" ht="12.75" hidden="false" customHeight="false" outlineLevel="0" collapsed="false">
      <c r="A40" s="158" t="n">
        <v>37130</v>
      </c>
      <c r="D40" s="108" t="n">
        <f aca="false">+D38+D35</f>
        <v>40407</v>
      </c>
    </row>
    <row r="43" customFormat="false" ht="15.75" hidden="false" customHeight="false" outlineLevel="0" collapsed="false">
      <c r="B43" s="156"/>
      <c r="C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</row>
    <row r="44" customFormat="false" ht="12.75" hidden="false" customHeight="false" outlineLevel="0" collapsed="false">
      <c r="A44" s="9" t="s">
        <v>120</v>
      </c>
      <c r="B44" s="9"/>
      <c r="C44" s="9"/>
      <c r="D44" s="16"/>
      <c r="K44" s="0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125" t="n">
        <v>-156083.38</v>
      </c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</row>
    <row r="46" customFormat="false" ht="12.75" hidden="false" customHeight="false" outlineLevel="0" collapsed="false">
      <c r="A46" s="124" t="n">
        <f aca="false">+A40</f>
        <v>37130</v>
      </c>
      <c r="B46" s="9"/>
      <c r="C46" s="9"/>
      <c r="D46" s="126" t="n">
        <f aca="false">+D35*'by type'!J4</f>
        <v>43574.67</v>
      </c>
      <c r="I46" s="120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-112508.71</v>
      </c>
      <c r="I47" s="120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</row>
    <row r="48" customFormat="false" ht="12.75" hidden="false" customHeight="false" outlineLevel="0" collapsed="false">
      <c r="I48" s="120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</row>
    <row r="49" customFormat="false" ht="12.75" hidden="false" customHeight="false" outlineLevel="0" collapsed="false">
      <c r="B49" s="107"/>
      <c r="C49" s="108"/>
      <c r="D49" s="108"/>
      <c r="I49" s="120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</row>
    <row r="50" customFormat="false" ht="12.75" hidden="false" customHeight="false" outlineLevel="0" collapsed="false">
      <c r="B50" s="107"/>
      <c r="C50" s="159"/>
      <c r="D50" s="108"/>
      <c r="I50" s="120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</row>
    <row r="51" customFormat="false" ht="12.75" hidden="false" customHeight="false" outlineLevel="0" collapsed="false">
      <c r="B51" s="107"/>
      <c r="C51" s="108"/>
      <c r="D51" s="108"/>
      <c r="I51" s="120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</row>
    <row r="52" customFormat="false" ht="12.75" hidden="false" customHeight="false" outlineLevel="0" collapsed="false">
      <c r="B52" s="107"/>
      <c r="C52" s="108"/>
      <c r="D52" s="108"/>
      <c r="I52" s="120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</row>
    <row r="53" customFormat="false" ht="12.75" hidden="false" customHeight="false" outlineLevel="0" collapsed="false">
      <c r="B53" s="107"/>
      <c r="C53" s="108"/>
      <c r="D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30" activeCellId="3" sqref="D31 C39 C38 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6"/>
      <c r="B1" s="157"/>
      <c r="F1" s="16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5" t="s">
        <v>113</v>
      </c>
      <c r="B3" s="101" t="s">
        <v>114</v>
      </c>
      <c r="C3" s="101" t="s">
        <v>115</v>
      </c>
      <c r="D3" s="101" t="s">
        <v>114</v>
      </c>
      <c r="E3" s="101" t="s">
        <v>115</v>
      </c>
      <c r="H3" s="75"/>
      <c r="I3" s="101"/>
    </row>
    <row r="4" customFormat="false" ht="12.75" hidden="false" customHeight="false" outlineLevel="0" collapsed="false">
      <c r="A4" s="107" t="n">
        <v>1</v>
      </c>
      <c r="B4" s="108" t="n">
        <v>-783122</v>
      </c>
      <c r="C4" s="108" t="n">
        <v>-801047</v>
      </c>
      <c r="D4" s="108" t="n">
        <v>-40000</v>
      </c>
      <c r="E4" s="108" t="n">
        <v>-40000</v>
      </c>
      <c r="F4" s="120" t="n">
        <f aca="false">+E4+C4-D4-B4</f>
        <v>-17925</v>
      </c>
      <c r="H4" s="107"/>
      <c r="I4" s="108"/>
    </row>
    <row r="5" customFormat="false" ht="12.75" hidden="false" customHeight="false" outlineLevel="0" collapsed="false">
      <c r="A5" s="107" t="n">
        <v>2</v>
      </c>
      <c r="B5" s="108" t="n">
        <v>-765413</v>
      </c>
      <c r="C5" s="108" t="n">
        <v>-746994</v>
      </c>
      <c r="D5" s="108" t="n">
        <v>-39998</v>
      </c>
      <c r="E5" s="108" t="n">
        <v>-40000</v>
      </c>
      <c r="F5" s="120" t="n">
        <f aca="false">+C5-B5+E5-D5</f>
        <v>18417</v>
      </c>
      <c r="H5" s="107"/>
      <c r="I5" s="108"/>
    </row>
    <row r="6" customFormat="false" ht="12.75" hidden="false" customHeight="false" outlineLevel="0" collapsed="false">
      <c r="A6" s="107" t="n">
        <v>3</v>
      </c>
      <c r="B6" s="108" t="n">
        <v>-751586</v>
      </c>
      <c r="C6" s="108" t="n">
        <v>-748805</v>
      </c>
      <c r="D6" s="108" t="n">
        <v>-39999</v>
      </c>
      <c r="E6" s="108" t="n">
        <v>-40000</v>
      </c>
      <c r="F6" s="120" t="n">
        <f aca="false">+C6-B6+E6-D6</f>
        <v>2780</v>
      </c>
      <c r="H6" s="107"/>
      <c r="I6" s="108"/>
    </row>
    <row r="7" customFormat="false" ht="12.75" hidden="false" customHeight="false" outlineLevel="0" collapsed="false">
      <c r="A7" s="107" t="n">
        <v>4</v>
      </c>
      <c r="B7" s="108" t="n">
        <v>-739284</v>
      </c>
      <c r="C7" s="108" t="n">
        <v>-742991</v>
      </c>
      <c r="D7" s="108" t="n">
        <v>-101</v>
      </c>
      <c r="E7" s="108"/>
      <c r="F7" s="120" t="n">
        <f aca="false">+C7-B7+E7-D7</f>
        <v>-3606</v>
      </c>
      <c r="H7" s="107"/>
      <c r="I7" s="108"/>
      <c r="K7" s="120"/>
    </row>
    <row r="8" customFormat="false" ht="12.75" hidden="false" customHeight="false" outlineLevel="0" collapsed="false">
      <c r="A8" s="107" t="n">
        <v>5</v>
      </c>
      <c r="B8" s="108" t="n">
        <v>-714787</v>
      </c>
      <c r="C8" s="108" t="n">
        <v>-734668</v>
      </c>
      <c r="D8" s="108"/>
      <c r="E8" s="108"/>
      <c r="F8" s="120" t="n">
        <f aca="false">+C8-B8+E8-D8</f>
        <v>-19881</v>
      </c>
      <c r="H8" s="107"/>
      <c r="I8" s="108"/>
    </row>
    <row r="9" customFormat="false" ht="12.75" hidden="false" customHeight="false" outlineLevel="0" collapsed="false">
      <c r="A9" s="107" t="n">
        <v>6</v>
      </c>
      <c r="B9" s="108" t="n">
        <v>-734353</v>
      </c>
      <c r="C9" s="108" t="n">
        <v>-750409</v>
      </c>
      <c r="D9" s="108" t="n">
        <v>-9877</v>
      </c>
      <c r="E9" s="108" t="n">
        <v>-10000</v>
      </c>
      <c r="F9" s="120" t="n">
        <f aca="false">+C9-B9+E9-D9</f>
        <v>-16179</v>
      </c>
      <c r="H9" s="107"/>
      <c r="I9" s="108"/>
    </row>
    <row r="10" customFormat="false" ht="12.75" hidden="false" customHeight="false" outlineLevel="0" collapsed="false">
      <c r="A10" s="107" t="n">
        <v>7</v>
      </c>
      <c r="B10" s="108" t="n">
        <v>-729199</v>
      </c>
      <c r="C10" s="108" t="n">
        <v>-722209</v>
      </c>
      <c r="D10" s="108" t="n">
        <v>-25859</v>
      </c>
      <c r="E10" s="108" t="n">
        <v>-25000</v>
      </c>
      <c r="F10" s="120" t="n">
        <f aca="false">+C10-B10+E10-D10</f>
        <v>7849</v>
      </c>
      <c r="H10" s="107"/>
      <c r="I10" s="108"/>
    </row>
    <row r="11" customFormat="false" ht="12.75" hidden="false" customHeight="false" outlineLevel="0" collapsed="false">
      <c r="A11" s="107" t="n">
        <v>8</v>
      </c>
      <c r="B11" s="108" t="n">
        <v>-719904</v>
      </c>
      <c r="C11" s="108" t="n">
        <v>-715180</v>
      </c>
      <c r="D11" s="108" t="n">
        <v>-27002</v>
      </c>
      <c r="E11" s="108" t="n">
        <v>-25000</v>
      </c>
      <c r="F11" s="120" t="n">
        <f aca="false">+C11-B11+E11-D11</f>
        <v>6726</v>
      </c>
      <c r="H11" s="107"/>
      <c r="I11" s="108"/>
    </row>
    <row r="12" customFormat="false" ht="12.75" hidden="false" customHeight="false" outlineLevel="0" collapsed="false">
      <c r="A12" s="107" t="n">
        <v>9</v>
      </c>
      <c r="B12" s="108" t="n">
        <v>-725690</v>
      </c>
      <c r="C12" s="108" t="n">
        <v>-722897</v>
      </c>
      <c r="D12" s="108" t="n">
        <v>-51038</v>
      </c>
      <c r="E12" s="108" t="n">
        <v>-50000</v>
      </c>
      <c r="F12" s="120" t="n">
        <f aca="false">+C12-B12+E12-D12</f>
        <v>3831</v>
      </c>
      <c r="H12" s="107"/>
      <c r="I12" s="108"/>
    </row>
    <row r="13" customFormat="false" ht="12.75" hidden="false" customHeight="false" outlineLevel="0" collapsed="false">
      <c r="A13" s="107" t="n">
        <v>10</v>
      </c>
      <c r="B13" s="108" t="n">
        <v>-740803</v>
      </c>
      <c r="C13" s="108" t="n">
        <v>-742788</v>
      </c>
      <c r="D13" s="108" t="n">
        <v>-51972</v>
      </c>
      <c r="E13" s="108" t="n">
        <v>-50000</v>
      </c>
      <c r="F13" s="120" t="n">
        <f aca="false">+C13-B13+E13-D13</f>
        <v>-13</v>
      </c>
      <c r="H13" s="107"/>
      <c r="I13" s="108"/>
    </row>
    <row r="14" customFormat="false" ht="12.75" hidden="false" customHeight="false" outlineLevel="0" collapsed="false">
      <c r="A14" s="107" t="n">
        <v>11</v>
      </c>
      <c r="B14" s="108" t="n">
        <v>-752259</v>
      </c>
      <c r="C14" s="108" t="n">
        <v>-753379</v>
      </c>
      <c r="D14" s="108" t="n">
        <v>-124</v>
      </c>
      <c r="E14" s="108"/>
      <c r="F14" s="120" t="n">
        <f aca="false">+C14-B14+E14-D14</f>
        <v>-996</v>
      </c>
      <c r="H14" s="107"/>
      <c r="I14" s="108"/>
    </row>
    <row r="15" customFormat="false" ht="12.75" hidden="false" customHeight="false" outlineLevel="0" collapsed="false">
      <c r="A15" s="107" t="n">
        <v>12</v>
      </c>
      <c r="B15" s="108" t="n">
        <v>-743592</v>
      </c>
      <c r="C15" s="108" t="n">
        <v>-743981</v>
      </c>
      <c r="D15" s="108" t="n">
        <v>-51599</v>
      </c>
      <c r="E15" s="108" t="n">
        <v>-50000</v>
      </c>
      <c r="F15" s="120" t="n">
        <f aca="false">+C15-B15+E15-D15</f>
        <v>1210</v>
      </c>
      <c r="H15" s="107"/>
      <c r="I15" s="108"/>
    </row>
    <row r="16" customFormat="false" ht="12.75" hidden="false" customHeight="false" outlineLevel="0" collapsed="false">
      <c r="A16" s="107" t="n">
        <v>13</v>
      </c>
      <c r="B16" s="108" t="n">
        <v>-722904</v>
      </c>
      <c r="C16" s="108" t="n">
        <v>-722201</v>
      </c>
      <c r="D16" s="108" t="n">
        <v>-20107</v>
      </c>
      <c r="E16" s="108" t="n">
        <v>-20000</v>
      </c>
      <c r="F16" s="120" t="n">
        <f aca="false">+C16-B16+E16-D16</f>
        <v>810</v>
      </c>
      <c r="H16" s="107"/>
      <c r="I16" s="108"/>
      <c r="K16" s="120"/>
    </row>
    <row r="17" customFormat="false" ht="12.75" hidden="false" customHeight="false" outlineLevel="0" collapsed="false">
      <c r="A17" s="107" t="n">
        <v>14</v>
      </c>
      <c r="B17" s="108" t="n">
        <v>-711618</v>
      </c>
      <c r="C17" s="108" t="n">
        <v>-701605</v>
      </c>
      <c r="D17" s="108"/>
      <c r="E17" s="108"/>
      <c r="F17" s="120" t="n">
        <f aca="false">+C17-B17+E17-D17</f>
        <v>10013</v>
      </c>
      <c r="H17" s="107"/>
      <c r="I17" s="108"/>
    </row>
    <row r="18" customFormat="false" ht="12.75" hidden="false" customHeight="false" outlineLevel="0" collapsed="false">
      <c r="A18" s="107" t="n">
        <v>15</v>
      </c>
      <c r="B18" s="108" t="n">
        <v>-679140</v>
      </c>
      <c r="C18" s="108" t="n">
        <v>-681609</v>
      </c>
      <c r="D18" s="108"/>
      <c r="E18" s="108"/>
      <c r="F18" s="120" t="n">
        <f aca="false">+C18-B18+E18-D18</f>
        <v>-2469</v>
      </c>
      <c r="H18" s="107"/>
      <c r="I18" s="108"/>
    </row>
    <row r="19" customFormat="false" ht="12.75" hidden="false" customHeight="false" outlineLevel="0" collapsed="false">
      <c r="A19" s="107" t="n">
        <v>16</v>
      </c>
      <c r="B19" s="108" t="n">
        <v>-674938</v>
      </c>
      <c r="C19" s="108" t="n">
        <v>-699370</v>
      </c>
      <c r="D19" s="108" t="n">
        <v>-25872</v>
      </c>
      <c r="E19" s="108" t="n">
        <v>-25000</v>
      </c>
      <c r="F19" s="120" t="n">
        <f aca="false">+C19-B19+E19-D19</f>
        <v>-23560</v>
      </c>
      <c r="H19" s="107"/>
      <c r="I19" s="108"/>
    </row>
    <row r="20" customFormat="false" ht="12.75" hidden="false" customHeight="false" outlineLevel="0" collapsed="false">
      <c r="A20" s="107" t="n">
        <v>17</v>
      </c>
      <c r="B20" s="108" t="n">
        <v>-694068</v>
      </c>
      <c r="C20" s="108" t="n">
        <v>-664964</v>
      </c>
      <c r="D20" s="108" t="n">
        <v>-25122</v>
      </c>
      <c r="E20" s="108" t="n">
        <v>-25000</v>
      </c>
      <c r="F20" s="120" t="n">
        <f aca="false">+C20-B20+E20-D20</f>
        <v>29226</v>
      </c>
      <c r="H20" s="107"/>
      <c r="I20" s="108"/>
    </row>
    <row r="21" customFormat="false" ht="12.75" hidden="false" customHeight="false" outlineLevel="0" collapsed="false">
      <c r="A21" s="107" t="n">
        <v>18</v>
      </c>
      <c r="B21" s="108" t="n">
        <v>-715015</v>
      </c>
      <c r="C21" s="108" t="n">
        <v>-718391</v>
      </c>
      <c r="D21" s="108" t="n">
        <v>-185</v>
      </c>
      <c r="E21" s="108"/>
      <c r="F21" s="120" t="n">
        <f aca="false">+C21-B21+E21-D21</f>
        <v>-3191</v>
      </c>
      <c r="H21" s="107"/>
      <c r="I21" s="108"/>
    </row>
    <row r="22" customFormat="false" ht="12.75" hidden="false" customHeight="false" outlineLevel="0" collapsed="false">
      <c r="A22" s="107" t="n">
        <v>19</v>
      </c>
      <c r="B22" s="108" t="n">
        <v>-703637</v>
      </c>
      <c r="C22" s="108" t="n">
        <v>-699226</v>
      </c>
      <c r="D22" s="108" t="n">
        <v>-24990</v>
      </c>
      <c r="E22" s="108" t="n">
        <v>-25000</v>
      </c>
      <c r="F22" s="120" t="n">
        <f aca="false">+C22-B22+E22-D22</f>
        <v>4401</v>
      </c>
      <c r="H22" s="107"/>
      <c r="I22" s="108"/>
    </row>
    <row r="23" customFormat="false" ht="12.75" hidden="false" customHeight="false" outlineLevel="0" collapsed="false">
      <c r="A23" s="107" t="n">
        <v>20</v>
      </c>
      <c r="B23" s="108" t="n">
        <v>-684261</v>
      </c>
      <c r="C23" s="108" t="n">
        <v>-661695</v>
      </c>
      <c r="D23" s="108" t="n">
        <v>-6703</v>
      </c>
      <c r="E23" s="108" t="n">
        <v>-5000</v>
      </c>
      <c r="F23" s="120" t="n">
        <f aca="false">+C23-B23+E23-D23</f>
        <v>24269</v>
      </c>
      <c r="H23" s="107"/>
      <c r="I23" s="108"/>
    </row>
    <row r="24" customFormat="false" ht="12.75" hidden="false" customHeight="false" outlineLevel="0" collapsed="false">
      <c r="A24" s="107" t="n">
        <v>21</v>
      </c>
      <c r="B24" s="108" t="n">
        <v>-705505</v>
      </c>
      <c r="C24" s="108" t="n">
        <v>-692927</v>
      </c>
      <c r="D24" s="108" t="n">
        <v>-25793</v>
      </c>
      <c r="E24" s="108" t="n">
        <v>-25000</v>
      </c>
      <c r="F24" s="120" t="n">
        <f aca="false">+C24-B24+E24-D24</f>
        <v>13371</v>
      </c>
      <c r="H24" s="107"/>
      <c r="I24" s="108"/>
      <c r="K24" s="120"/>
    </row>
    <row r="25" customFormat="false" ht="12.75" hidden="false" customHeight="false" outlineLevel="0" collapsed="false">
      <c r="A25" s="107" t="n">
        <v>22</v>
      </c>
      <c r="B25" s="108" t="n">
        <v>-694670</v>
      </c>
      <c r="C25" s="108" t="n">
        <v>-697277</v>
      </c>
      <c r="D25" s="108" t="n">
        <v>-24997</v>
      </c>
      <c r="E25" s="108" t="n">
        <v>-25000</v>
      </c>
      <c r="F25" s="120" t="n">
        <f aca="false">+C25-B25+E25-D25</f>
        <v>-2610</v>
      </c>
      <c r="H25" s="107"/>
      <c r="I25" s="108"/>
    </row>
    <row r="26" customFormat="false" ht="12.75" hidden="false" customHeight="false" outlineLevel="0" collapsed="false">
      <c r="A26" s="107" t="n">
        <v>23</v>
      </c>
      <c r="B26" s="108" t="n">
        <v>-700984</v>
      </c>
      <c r="C26" s="108" t="n">
        <v>-681477</v>
      </c>
      <c r="D26" s="108" t="n">
        <v>-25002</v>
      </c>
      <c r="E26" s="108" t="n">
        <v>-25000</v>
      </c>
      <c r="F26" s="120" t="n">
        <f aca="false">+C26-B26+E26-D26</f>
        <v>19509</v>
      </c>
      <c r="H26" s="107"/>
      <c r="I26" s="108"/>
    </row>
    <row r="27" customFormat="false" ht="12.75" hidden="false" customHeight="false" outlineLevel="0" collapsed="false">
      <c r="A27" s="107" t="n">
        <v>24</v>
      </c>
      <c r="B27" s="108" t="n">
        <v>-680977</v>
      </c>
      <c r="C27" s="108" t="n">
        <v>-683267</v>
      </c>
      <c r="D27" s="108" t="n">
        <v>-24997</v>
      </c>
      <c r="E27" s="108" t="n">
        <v>-25000</v>
      </c>
      <c r="F27" s="120" t="n">
        <f aca="false">+C27-B27+E27-D27</f>
        <v>-2293</v>
      </c>
      <c r="H27" s="107"/>
      <c r="I27" s="108"/>
      <c r="K27" s="120"/>
    </row>
    <row r="28" customFormat="false" ht="12.75" hidden="false" customHeight="false" outlineLevel="0" collapsed="false">
      <c r="A28" s="107" t="n">
        <v>25</v>
      </c>
      <c r="B28" s="108" t="n">
        <v>-693830</v>
      </c>
      <c r="C28" s="108" t="n">
        <v>-704130</v>
      </c>
      <c r="D28" s="108" t="n">
        <v>-25000</v>
      </c>
      <c r="E28" s="108" t="n">
        <v>-25000</v>
      </c>
      <c r="F28" s="120" t="n">
        <f aca="false">+C28-B28+E28-D28</f>
        <v>-10300</v>
      </c>
      <c r="H28" s="107"/>
      <c r="I28" s="108"/>
      <c r="K28" s="120"/>
    </row>
    <row r="29" customFormat="false" ht="12.75" hidden="false" customHeight="false" outlineLevel="0" collapsed="false">
      <c r="A29" s="107" t="n">
        <v>26</v>
      </c>
      <c r="B29" s="108" t="n">
        <v>-681818</v>
      </c>
      <c r="C29" s="108" t="n">
        <v>-696016</v>
      </c>
      <c r="D29" s="108" t="n">
        <v>-25002</v>
      </c>
      <c r="E29" s="108" t="n">
        <v>-25000</v>
      </c>
      <c r="F29" s="120" t="n">
        <f aca="false">+C29-B29+E29-D29</f>
        <v>-14196</v>
      </c>
      <c r="H29" s="107"/>
      <c r="I29" s="108"/>
      <c r="K29" s="120"/>
    </row>
    <row r="30" customFormat="false" ht="12.75" hidden="false" customHeight="false" outlineLevel="0" collapsed="false">
      <c r="A30" s="107" t="n">
        <v>27</v>
      </c>
      <c r="B30" s="108" t="n">
        <v>-671056</v>
      </c>
      <c r="C30" s="108" t="n">
        <v>-666426</v>
      </c>
      <c r="D30" s="108" t="n">
        <v>-25000</v>
      </c>
      <c r="E30" s="108" t="n">
        <v>-25000</v>
      </c>
      <c r="F30" s="120" t="n">
        <f aca="false">+C30-B30+E30-D30</f>
        <v>4630</v>
      </c>
      <c r="H30" s="107"/>
      <c r="I30" s="108"/>
      <c r="K30" s="12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20" t="n">
        <f aca="false">+C31-B31+E31-D31</f>
        <v>0</v>
      </c>
      <c r="H31" s="107"/>
      <c r="I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20" t="n">
        <f aca="false">+C32-B32+E32-D32</f>
        <v>0</v>
      </c>
      <c r="H32" s="107"/>
      <c r="I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20" t="n">
        <f aca="false">+C33-B33+E33-D33</f>
        <v>0</v>
      </c>
      <c r="H33" s="107"/>
      <c r="I33" s="108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20" t="n">
        <f aca="false">+C34-B34+E34-D34</f>
        <v>0</v>
      </c>
      <c r="H34" s="107"/>
      <c r="I34" s="108"/>
    </row>
    <row r="35" customFormat="false" ht="12.75" hidden="false" customHeight="false" outlineLevel="0" collapsed="false">
      <c r="A35" s="107"/>
      <c r="B35" s="108" t="n">
        <f aca="false">SUM(B4:B34)</f>
        <v>-19314413</v>
      </c>
      <c r="C35" s="108" t="n">
        <f aca="false">SUM(C4:C34)</f>
        <v>-19295929</v>
      </c>
      <c r="D35" s="108" t="n">
        <f aca="false">SUM(D4:D34)</f>
        <v>-616339</v>
      </c>
      <c r="E35" s="108" t="n">
        <f aca="false">SUM(E4:E34)</f>
        <v>-605000</v>
      </c>
      <c r="F35" s="108" t="n">
        <f aca="false">SUM(F4:F34)</f>
        <v>29823</v>
      </c>
      <c r="H35" s="107"/>
      <c r="I35" s="108"/>
      <c r="K35" s="108"/>
    </row>
    <row r="36" customFormat="false" ht="12.75" hidden="false" customHeight="false" outlineLevel="0" collapsed="false">
      <c r="A36" s="134"/>
      <c r="B36" s="108"/>
      <c r="C36" s="120"/>
      <c r="F36" s="19"/>
      <c r="H36" s="134"/>
    </row>
    <row r="37" customFormat="false" ht="12.75" hidden="false" customHeight="false" outlineLevel="0" collapsed="false">
      <c r="F37" s="108"/>
    </row>
    <row r="38" customFormat="false" ht="12.75" hidden="false" customHeight="false" outlineLevel="0" collapsed="false">
      <c r="A38" s="152" t="n">
        <v>37103</v>
      </c>
      <c r="F38" s="154" t="n">
        <v>145102</v>
      </c>
    </row>
    <row r="39" customFormat="false" ht="12.75" hidden="false" customHeight="false" outlineLevel="0" collapsed="false">
      <c r="A39" s="19"/>
      <c r="F39" s="108"/>
    </row>
    <row r="40" customFormat="false" ht="12.75" hidden="false" customHeight="false" outlineLevel="0" collapsed="false">
      <c r="A40" s="152" t="n">
        <v>37130</v>
      </c>
      <c r="F40" s="108" t="n">
        <f aca="false">+F38+F35</f>
        <v>174925</v>
      </c>
    </row>
    <row r="42" customFormat="false" ht="12.75" hidden="false" customHeight="false" outlineLevel="0" collapsed="false"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</row>
    <row r="43" customFormat="false" ht="15.75" hidden="false" customHeight="false" outlineLevel="0" collapsed="false">
      <c r="A43" s="156"/>
      <c r="B43" s="108"/>
      <c r="C43" s="108"/>
      <c r="F43" s="132"/>
      <c r="H43" s="156"/>
      <c r="I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  <c r="AE43" s="156"/>
      <c r="AF43" s="162"/>
      <c r="AG43" s="161"/>
      <c r="AH43" s="161"/>
      <c r="AI43" s="163"/>
      <c r="AJ43" s="162"/>
      <c r="AK43" s="161"/>
      <c r="AL43" s="161"/>
      <c r="AM43" s="163"/>
      <c r="AN43" s="162"/>
      <c r="AO43" s="161"/>
      <c r="AP43" s="161"/>
      <c r="AQ43" s="161"/>
      <c r="AR43" s="161"/>
      <c r="AS43" s="161"/>
    </row>
    <row r="44" customFormat="false" ht="12.75" hidden="false" customHeight="false" outlineLevel="0" collapsed="false">
      <c r="A44" s="9" t="s">
        <v>120</v>
      </c>
      <c r="B44" s="9"/>
      <c r="C44" s="9"/>
      <c r="D44" s="16"/>
      <c r="K44" s="0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125" t="n">
        <v>448413.9</v>
      </c>
      <c r="H45" s="75"/>
      <c r="I45" s="101"/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  <c r="AE45" s="75"/>
      <c r="AF45" s="164"/>
      <c r="AG45" s="164"/>
      <c r="AH45" s="161"/>
      <c r="AI45" s="165"/>
      <c r="AJ45" s="164"/>
      <c r="AK45" s="164"/>
      <c r="AL45" s="161"/>
      <c r="AM45" s="165"/>
      <c r="AN45" s="164"/>
      <c r="AO45" s="164"/>
      <c r="AP45" s="161"/>
      <c r="AQ45" s="161"/>
      <c r="AR45" s="161"/>
      <c r="AS45" s="161"/>
    </row>
    <row r="46" customFormat="false" ht="12.75" hidden="false" customHeight="false" outlineLevel="0" collapsed="false">
      <c r="A46" s="124" t="n">
        <f aca="false">+A40</f>
        <v>37130</v>
      </c>
      <c r="B46" s="9"/>
      <c r="C46" s="9"/>
      <c r="D46" s="126" t="n">
        <f aca="false">+F35*'by type'!J4</f>
        <v>83802.63</v>
      </c>
      <c r="F46" s="120"/>
      <c r="H46" s="107"/>
      <c r="I46" s="108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  <c r="AE46" s="107"/>
      <c r="AF46" s="108"/>
      <c r="AG46" s="108"/>
      <c r="AH46" s="166"/>
      <c r="AI46" s="167"/>
      <c r="AJ46" s="108"/>
      <c r="AK46" s="108"/>
      <c r="AL46" s="166"/>
      <c r="AM46" s="167"/>
      <c r="AN46" s="108"/>
      <c r="AO46" s="108"/>
      <c r="AP46" s="166"/>
      <c r="AQ46" s="161"/>
      <c r="AR46" s="161"/>
      <c r="AS46" s="161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532216.53</v>
      </c>
      <c r="F47" s="168"/>
      <c r="H47" s="107"/>
      <c r="I47" s="108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  <c r="AE47" s="107"/>
      <c r="AF47" s="108"/>
      <c r="AG47" s="108"/>
      <c r="AH47" s="166"/>
      <c r="AI47" s="167"/>
      <c r="AJ47" s="108"/>
      <c r="AK47" s="108"/>
      <c r="AL47" s="166"/>
      <c r="AM47" s="167"/>
      <c r="AN47" s="108"/>
      <c r="AO47" s="108"/>
      <c r="AP47" s="166"/>
      <c r="AQ47" s="161"/>
      <c r="AR47" s="161"/>
      <c r="AS47" s="161"/>
    </row>
    <row r="48" customFormat="false" ht="12.75" hidden="false" customHeight="false" outlineLevel="0" collapsed="false">
      <c r="F48" s="120"/>
      <c r="H48" s="107"/>
      <c r="I48" s="108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  <c r="AE48" s="107"/>
      <c r="AF48" s="108"/>
      <c r="AG48" s="108"/>
      <c r="AH48" s="166"/>
      <c r="AI48" s="167"/>
      <c r="AJ48" s="108"/>
      <c r="AK48" s="108"/>
      <c r="AL48" s="166"/>
      <c r="AM48" s="167"/>
      <c r="AN48" s="108"/>
      <c r="AO48" s="108"/>
      <c r="AP48" s="166"/>
      <c r="AQ48" s="161"/>
      <c r="AR48" s="161"/>
      <c r="AS48" s="161"/>
    </row>
    <row r="49" customFormat="false" ht="12.75" hidden="false" customHeight="false" outlineLevel="0" collapsed="false">
      <c r="A49" s="107"/>
      <c r="B49" s="108"/>
      <c r="C49" s="108"/>
      <c r="F49" s="120"/>
      <c r="H49" s="107"/>
      <c r="I49" s="108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  <c r="AE49" s="107"/>
      <c r="AF49" s="108"/>
      <c r="AG49" s="108"/>
      <c r="AH49" s="166"/>
      <c r="AI49" s="167"/>
      <c r="AJ49" s="108"/>
      <c r="AK49" s="108"/>
      <c r="AL49" s="166"/>
      <c r="AM49" s="167"/>
      <c r="AN49" s="108"/>
      <c r="AO49" s="108"/>
      <c r="AP49" s="166"/>
      <c r="AQ49" s="161"/>
      <c r="AR49" s="161"/>
      <c r="AS49" s="161"/>
    </row>
    <row r="50" customFormat="false" ht="12.75" hidden="false" customHeight="false" outlineLevel="0" collapsed="false">
      <c r="A50" s="107"/>
      <c r="B50" s="108"/>
      <c r="C50" s="108"/>
      <c r="F50" s="120"/>
      <c r="H50" s="107"/>
      <c r="I50" s="108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  <c r="AE50" s="107"/>
      <c r="AF50" s="108"/>
      <c r="AG50" s="108"/>
      <c r="AH50" s="166"/>
      <c r="AI50" s="167"/>
      <c r="AJ50" s="108"/>
      <c r="AK50" s="108"/>
      <c r="AL50" s="166"/>
      <c r="AM50" s="167"/>
      <c r="AN50" s="108"/>
      <c r="AO50" s="108"/>
      <c r="AP50" s="166"/>
      <c r="AQ50" s="161"/>
      <c r="AR50" s="161"/>
      <c r="AS50" s="161"/>
    </row>
    <row r="51" customFormat="false" ht="12.75" hidden="false" customHeight="false" outlineLevel="0" collapsed="false">
      <c r="A51" s="107"/>
      <c r="B51" s="108"/>
      <c r="C51" s="108"/>
      <c r="F51" s="120"/>
      <c r="H51" s="107"/>
      <c r="I51" s="108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  <c r="AE51" s="107"/>
      <c r="AF51" s="108"/>
      <c r="AG51" s="108"/>
      <c r="AH51" s="166"/>
      <c r="AI51" s="167"/>
      <c r="AJ51" s="108"/>
      <c r="AK51" s="108"/>
      <c r="AL51" s="166"/>
      <c r="AM51" s="167"/>
      <c r="AN51" s="108"/>
      <c r="AO51" s="108"/>
      <c r="AP51" s="166"/>
      <c r="AQ51" s="161"/>
      <c r="AR51" s="161"/>
      <c r="AS51" s="161"/>
    </row>
    <row r="52" customFormat="false" ht="12.75" hidden="false" customHeight="false" outlineLevel="0" collapsed="false">
      <c r="A52" s="107"/>
      <c r="B52" s="108"/>
      <c r="C52" s="108"/>
      <c r="F52" s="120"/>
      <c r="H52" s="107"/>
      <c r="I52" s="108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  <c r="AE52" s="107"/>
      <c r="AF52" s="108"/>
      <c r="AG52" s="108"/>
      <c r="AH52" s="166"/>
      <c r="AI52" s="167"/>
      <c r="AJ52" s="108"/>
      <c r="AK52" s="108"/>
      <c r="AL52" s="166"/>
      <c r="AM52" s="167"/>
      <c r="AN52" s="108"/>
      <c r="AO52" s="108"/>
      <c r="AP52" s="166"/>
      <c r="AQ52" s="161"/>
      <c r="AR52" s="161"/>
      <c r="AS52" s="161"/>
    </row>
    <row r="53" customFormat="false" ht="12.75" hidden="false" customHeight="false" outlineLevel="0" collapsed="false">
      <c r="A53" s="107"/>
      <c r="B53" s="108"/>
      <c r="C53" s="108"/>
      <c r="D53" s="120"/>
      <c r="F53" s="107"/>
      <c r="G53" s="108"/>
      <c r="H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  <c r="AE53" s="107"/>
      <c r="AF53" s="108"/>
      <c r="AG53" s="108"/>
      <c r="AH53" s="166"/>
      <c r="AI53" s="167"/>
      <c r="AJ53" s="108"/>
      <c r="AK53" s="108"/>
      <c r="AL53" s="166"/>
      <c r="AM53" s="167"/>
      <c r="AN53" s="108"/>
      <c r="AO53" s="108"/>
      <c r="AP53" s="166"/>
      <c r="AQ53" s="161"/>
      <c r="AR53" s="161"/>
      <c r="AS53" s="161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  <c r="AE54" s="107"/>
      <c r="AF54" s="108"/>
      <c r="AG54" s="108"/>
      <c r="AH54" s="166"/>
      <c r="AI54" s="167"/>
      <c r="AJ54" s="108"/>
      <c r="AK54" s="108"/>
      <c r="AL54" s="166"/>
      <c r="AM54" s="167"/>
      <c r="AN54" s="108"/>
      <c r="AO54" s="108"/>
      <c r="AP54" s="166"/>
      <c r="AQ54" s="161"/>
      <c r="AR54" s="161"/>
      <c r="AS54" s="161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  <c r="AE55" s="107"/>
      <c r="AF55" s="108"/>
      <c r="AG55" s="108"/>
      <c r="AH55" s="166"/>
      <c r="AI55" s="167"/>
      <c r="AJ55" s="108"/>
      <c r="AK55" s="108"/>
      <c r="AL55" s="166"/>
      <c r="AM55" s="167"/>
      <c r="AN55" s="108"/>
      <c r="AO55" s="108"/>
      <c r="AP55" s="166"/>
      <c r="AQ55" s="161"/>
      <c r="AR55" s="161"/>
      <c r="AS55" s="161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  <c r="AE56" s="107"/>
      <c r="AF56" s="108"/>
      <c r="AG56" s="108"/>
      <c r="AH56" s="166"/>
      <c r="AI56" s="167"/>
      <c r="AJ56" s="108"/>
      <c r="AK56" s="108"/>
      <c r="AL56" s="166"/>
      <c r="AM56" s="167"/>
      <c r="AN56" s="108"/>
      <c r="AO56" s="108"/>
      <c r="AP56" s="166"/>
      <c r="AQ56" s="161"/>
      <c r="AR56" s="161"/>
      <c r="AS56" s="161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  <c r="AE57" s="107"/>
      <c r="AF57" s="108"/>
      <c r="AG57" s="108"/>
      <c r="AH57" s="166"/>
      <c r="AI57" s="167"/>
      <c r="AJ57" s="108"/>
      <c r="AK57" s="108"/>
      <c r="AL57" s="166"/>
      <c r="AM57" s="167"/>
      <c r="AN57" s="108"/>
      <c r="AO57" s="108"/>
      <c r="AP57" s="166"/>
      <c r="AQ57" s="161"/>
      <c r="AR57" s="161"/>
      <c r="AS57" s="161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  <c r="AE58" s="107"/>
      <c r="AF58" s="108"/>
      <c r="AG58" s="108"/>
      <c r="AH58" s="166"/>
      <c r="AI58" s="167"/>
      <c r="AJ58" s="108"/>
      <c r="AK58" s="108"/>
      <c r="AL58" s="166"/>
      <c r="AM58" s="167"/>
      <c r="AN58" s="108"/>
      <c r="AO58" s="108"/>
      <c r="AP58" s="166"/>
      <c r="AQ58" s="161"/>
      <c r="AR58" s="161"/>
      <c r="AS58" s="161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  <c r="AE59" s="107"/>
      <c r="AF59" s="108"/>
      <c r="AG59" s="108"/>
      <c r="AH59" s="166"/>
      <c r="AI59" s="167"/>
      <c r="AJ59" s="108"/>
      <c r="AK59" s="108"/>
      <c r="AL59" s="166"/>
      <c r="AM59" s="167"/>
      <c r="AN59" s="108"/>
      <c r="AO59" s="108"/>
      <c r="AP59" s="166"/>
      <c r="AQ59" s="161"/>
      <c r="AR59" s="161"/>
      <c r="AS59" s="161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  <c r="AE60" s="107"/>
      <c r="AF60" s="108"/>
      <c r="AG60" s="108"/>
      <c r="AH60" s="166"/>
      <c r="AI60" s="167"/>
      <c r="AJ60" s="108"/>
      <c r="AK60" s="108"/>
      <c r="AL60" s="166"/>
      <c r="AM60" s="167"/>
      <c r="AN60" s="108"/>
      <c r="AO60" s="108"/>
      <c r="AP60" s="166"/>
      <c r="AQ60" s="161"/>
      <c r="AR60" s="161"/>
      <c r="AS60" s="161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  <c r="AE61" s="107"/>
      <c r="AF61" s="108"/>
      <c r="AG61" s="108"/>
      <c r="AH61" s="166"/>
      <c r="AI61" s="167"/>
      <c r="AJ61" s="108"/>
      <c r="AK61" s="108"/>
      <c r="AL61" s="166"/>
      <c r="AM61" s="167"/>
      <c r="AN61" s="108"/>
      <c r="AO61" s="108"/>
      <c r="AP61" s="166"/>
      <c r="AQ61" s="161"/>
      <c r="AR61" s="161"/>
      <c r="AS61" s="161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  <c r="AE62" s="107"/>
      <c r="AF62" s="108"/>
      <c r="AG62" s="108"/>
      <c r="AH62" s="166"/>
      <c r="AI62" s="167"/>
      <c r="AJ62" s="108"/>
      <c r="AK62" s="108"/>
      <c r="AL62" s="166"/>
      <c r="AM62" s="167"/>
      <c r="AN62" s="108"/>
      <c r="AO62" s="108"/>
      <c r="AP62" s="166"/>
      <c r="AQ62" s="161"/>
      <c r="AR62" s="161"/>
      <c r="AS62" s="161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  <c r="AE63" s="107"/>
      <c r="AF63" s="108"/>
      <c r="AG63" s="108"/>
      <c r="AH63" s="166"/>
      <c r="AI63" s="167"/>
      <c r="AJ63" s="108"/>
      <c r="AK63" s="108"/>
      <c r="AL63" s="166"/>
      <c r="AM63" s="167"/>
      <c r="AN63" s="108"/>
      <c r="AO63" s="108"/>
      <c r="AP63" s="166"/>
      <c r="AQ63" s="161"/>
      <c r="AR63" s="161"/>
      <c r="AS63" s="161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  <c r="AE64" s="107"/>
      <c r="AF64" s="108"/>
      <c r="AG64" s="108"/>
      <c r="AH64" s="166"/>
      <c r="AI64" s="167"/>
      <c r="AJ64" s="108"/>
      <c r="AK64" s="108"/>
      <c r="AL64" s="166"/>
      <c r="AM64" s="167"/>
      <c r="AN64" s="108"/>
      <c r="AO64" s="108"/>
      <c r="AP64" s="166"/>
      <c r="AQ64" s="161"/>
      <c r="AR64" s="161"/>
      <c r="AS64" s="161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  <c r="AE65" s="107"/>
      <c r="AF65" s="108"/>
      <c r="AG65" s="108"/>
      <c r="AH65" s="166"/>
      <c r="AI65" s="167"/>
      <c r="AJ65" s="108"/>
      <c r="AK65" s="108"/>
      <c r="AL65" s="166"/>
      <c r="AM65" s="167"/>
      <c r="AN65" s="108"/>
      <c r="AO65" s="108"/>
      <c r="AP65" s="166"/>
      <c r="AQ65" s="161"/>
      <c r="AR65" s="161"/>
      <c r="AS65" s="161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  <c r="AE66" s="107"/>
      <c r="AF66" s="108"/>
      <c r="AG66" s="108"/>
      <c r="AH66" s="166"/>
      <c r="AI66" s="167"/>
      <c r="AJ66" s="108"/>
      <c r="AK66" s="108"/>
      <c r="AL66" s="166"/>
      <c r="AM66" s="167"/>
      <c r="AN66" s="108"/>
      <c r="AO66" s="108"/>
      <c r="AP66" s="166"/>
      <c r="AQ66" s="161"/>
      <c r="AR66" s="161"/>
      <c r="AS66" s="161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  <c r="AE67" s="107"/>
      <c r="AF67" s="108"/>
      <c r="AG67" s="108"/>
      <c r="AH67" s="166"/>
      <c r="AI67" s="167"/>
      <c r="AJ67" s="108"/>
      <c r="AK67" s="108"/>
      <c r="AL67" s="166"/>
      <c r="AM67" s="167"/>
      <c r="AN67" s="108"/>
      <c r="AO67" s="108"/>
      <c r="AP67" s="166"/>
      <c r="AQ67" s="161"/>
      <c r="AR67" s="161"/>
      <c r="AS67" s="161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  <c r="AE68" s="107"/>
      <c r="AF68" s="108"/>
      <c r="AG68" s="108"/>
      <c r="AH68" s="166"/>
      <c r="AI68" s="167"/>
      <c r="AJ68" s="108"/>
      <c r="AK68" s="108"/>
      <c r="AL68" s="166"/>
      <c r="AM68" s="167"/>
      <c r="AN68" s="108"/>
      <c r="AO68" s="108"/>
      <c r="AP68" s="166"/>
      <c r="AQ68" s="161"/>
      <c r="AR68" s="161"/>
      <c r="AS68" s="161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  <c r="AE69" s="107"/>
      <c r="AF69" s="108"/>
      <c r="AG69" s="108"/>
      <c r="AH69" s="166"/>
      <c r="AI69" s="167"/>
      <c r="AJ69" s="108"/>
      <c r="AK69" s="108"/>
      <c r="AL69" s="166"/>
      <c r="AM69" s="167"/>
      <c r="AN69" s="108"/>
      <c r="AO69" s="108"/>
      <c r="AP69" s="166"/>
      <c r="AQ69" s="161"/>
      <c r="AR69" s="161"/>
      <c r="AS69" s="161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  <c r="AE70" s="107"/>
      <c r="AF70" s="108"/>
      <c r="AG70" s="108"/>
      <c r="AH70" s="166"/>
      <c r="AI70" s="167"/>
      <c r="AJ70" s="108"/>
      <c r="AK70" s="108"/>
      <c r="AL70" s="166"/>
      <c r="AM70" s="167"/>
      <c r="AN70" s="108"/>
      <c r="AO70" s="108"/>
      <c r="AP70" s="166"/>
      <c r="AQ70" s="161"/>
      <c r="AR70" s="161"/>
      <c r="AS70" s="161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  <c r="AE71" s="107"/>
      <c r="AF71" s="108"/>
      <c r="AG71" s="108"/>
      <c r="AH71" s="166"/>
      <c r="AI71" s="167"/>
      <c r="AJ71" s="108"/>
      <c r="AK71" s="108"/>
      <c r="AL71" s="166"/>
      <c r="AM71" s="167"/>
      <c r="AN71" s="108"/>
      <c r="AO71" s="108"/>
      <c r="AP71" s="166"/>
      <c r="AQ71" s="161"/>
      <c r="AR71" s="161"/>
      <c r="AS71" s="161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  <c r="AE72" s="107"/>
      <c r="AF72" s="108"/>
      <c r="AG72" s="108"/>
      <c r="AH72" s="166"/>
      <c r="AI72" s="167"/>
      <c r="AJ72" s="108"/>
      <c r="AK72" s="108"/>
      <c r="AL72" s="166"/>
      <c r="AM72" s="167"/>
      <c r="AN72" s="108"/>
      <c r="AO72" s="108"/>
      <c r="AP72" s="166"/>
      <c r="AQ72" s="161"/>
      <c r="AR72" s="161"/>
      <c r="AS72" s="161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  <c r="AE73" s="107"/>
      <c r="AF73" s="108"/>
      <c r="AG73" s="108"/>
      <c r="AH73" s="166"/>
      <c r="AI73" s="167"/>
      <c r="AJ73" s="108"/>
      <c r="AK73" s="108"/>
      <c r="AL73" s="166"/>
      <c r="AM73" s="167"/>
      <c r="AN73" s="108"/>
      <c r="AO73" s="108"/>
      <c r="AP73" s="166"/>
      <c r="AQ73" s="161"/>
      <c r="AR73" s="161"/>
      <c r="AS73" s="161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  <c r="AE74" s="107"/>
      <c r="AF74" s="108"/>
      <c r="AG74" s="108"/>
      <c r="AH74" s="166"/>
      <c r="AI74" s="167"/>
      <c r="AJ74" s="108"/>
      <c r="AK74" s="108"/>
      <c r="AL74" s="166"/>
      <c r="AM74" s="167"/>
      <c r="AN74" s="108"/>
      <c r="AO74" s="108"/>
      <c r="AP74" s="166"/>
      <c r="AQ74" s="161"/>
      <c r="AR74" s="161"/>
      <c r="AS74" s="161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  <c r="AE75" s="107"/>
      <c r="AF75" s="108"/>
      <c r="AG75" s="108"/>
      <c r="AH75" s="166"/>
      <c r="AI75" s="167"/>
      <c r="AJ75" s="108"/>
      <c r="AK75" s="108"/>
      <c r="AL75" s="166"/>
      <c r="AM75" s="167"/>
      <c r="AN75" s="108"/>
      <c r="AO75" s="108"/>
      <c r="AP75" s="166"/>
      <c r="AQ75" s="161"/>
      <c r="AR75" s="161"/>
      <c r="AS75" s="161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  <c r="AE76" s="107"/>
      <c r="AF76" s="108"/>
      <c r="AG76" s="108"/>
      <c r="AH76" s="166"/>
      <c r="AI76" s="167"/>
      <c r="AJ76" s="108"/>
      <c r="AK76" s="108"/>
      <c r="AL76" s="166"/>
      <c r="AM76" s="167"/>
      <c r="AN76" s="108"/>
      <c r="AO76" s="108"/>
      <c r="AP76" s="166"/>
      <c r="AQ76" s="161"/>
      <c r="AR76" s="161"/>
      <c r="AS76" s="161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  <c r="AE77" s="107"/>
      <c r="AF77" s="108"/>
      <c r="AG77" s="108"/>
      <c r="AH77" s="108"/>
      <c r="AI77" s="167"/>
      <c r="AJ77" s="108"/>
      <c r="AK77" s="108"/>
      <c r="AL77" s="108"/>
      <c r="AM77" s="167"/>
      <c r="AN77" s="108"/>
      <c r="AO77" s="108"/>
      <c r="AP77" s="108"/>
      <c r="AQ77" s="161"/>
      <c r="AR77" s="161"/>
      <c r="AS77" s="161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  <c r="AE78" s="134"/>
      <c r="AF78" s="161"/>
      <c r="AG78" s="166"/>
      <c r="AH78" s="169"/>
      <c r="AI78" s="170"/>
      <c r="AJ78" s="161"/>
      <c r="AK78" s="166"/>
      <c r="AL78" s="169"/>
      <c r="AM78" s="170"/>
      <c r="AN78" s="161"/>
      <c r="AO78" s="166"/>
      <c r="AP78" s="169"/>
      <c r="AQ78" s="161"/>
      <c r="AR78" s="161"/>
      <c r="AS78" s="161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  <c r="AF79" s="161"/>
      <c r="AG79" s="161"/>
      <c r="AH79" s="108"/>
      <c r="AI79" s="161"/>
      <c r="AJ79" s="161"/>
      <c r="AK79" s="161"/>
      <c r="AL79" s="108"/>
      <c r="AM79" s="161"/>
      <c r="AN79" s="161"/>
      <c r="AO79" s="161"/>
      <c r="AP79" s="108"/>
      <c r="AQ79" s="161"/>
      <c r="AR79" s="161"/>
      <c r="AS79" s="161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  <c r="AE80" s="152"/>
      <c r="AF80" s="161"/>
      <c r="AG80" s="161"/>
      <c r="AH80" s="108"/>
      <c r="AI80" s="171"/>
      <c r="AJ80" s="161"/>
      <c r="AK80" s="161"/>
      <c r="AL80" s="108"/>
      <c r="AM80" s="171"/>
      <c r="AN80" s="161"/>
      <c r="AO80" s="161"/>
      <c r="AP80" s="108"/>
      <c r="AQ80" s="161"/>
      <c r="AR80" s="161"/>
      <c r="AS80" s="161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  <c r="AE81" s="19"/>
      <c r="AF81" s="161"/>
      <c r="AG81" s="161"/>
      <c r="AH81" s="108"/>
      <c r="AI81" s="169"/>
      <c r="AJ81" s="161"/>
      <c r="AK81" s="161"/>
      <c r="AL81" s="108"/>
      <c r="AM81" s="169"/>
      <c r="AN81" s="161"/>
      <c r="AO81" s="161"/>
      <c r="AP81" s="108"/>
      <c r="AQ81" s="161"/>
      <c r="AR81" s="161"/>
      <c r="AS81" s="161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  <c r="AE82" s="152"/>
      <c r="AF82" s="161"/>
      <c r="AG82" s="161"/>
      <c r="AH82" s="108"/>
      <c r="AI82" s="171"/>
      <c r="AJ82" s="161"/>
      <c r="AK82" s="161"/>
      <c r="AL82" s="108"/>
      <c r="AM82" s="171"/>
      <c r="AN82" s="161"/>
      <c r="AO82" s="161"/>
      <c r="AP82" s="108"/>
      <c r="AQ82" s="161"/>
      <c r="AR82" s="161"/>
      <c r="AS82" s="161"/>
    </row>
    <row r="83" customFormat="false" ht="12.75" hidden="false" customHeight="false" outlineLevel="0" collapsed="false">
      <c r="AE83" s="9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</row>
    <row r="84" customFormat="false" ht="12.75" hidden="false" customHeight="false" outlineLevel="0" collapsed="false">
      <c r="AE84" s="9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</row>
    <row r="85" customFormat="false" ht="12.75" hidden="false" customHeight="false" outlineLevel="0" collapsed="false"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</row>
    <row r="86" customFormat="false" ht="12.75" hidden="false" customHeight="false" outlineLevel="0" collapsed="false"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</row>
    <row r="87" customFormat="false" ht="12.75" hidden="false" customHeight="false" outlineLevel="0" collapsed="false"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</row>
    <row r="88" customFormat="false" ht="12.75" hidden="false" customHeight="false" outlineLevel="0" collapsed="false"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</row>
    <row r="89" customFormat="false" ht="12.75" hidden="false" customHeight="false" outlineLevel="0" collapsed="false"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</row>
    <row r="90" customFormat="false" ht="12.75" hidden="false" customHeight="false" outlineLevel="0" collapsed="false"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</row>
    <row r="91" customFormat="false" ht="12.75" hidden="false" customHeight="false" outlineLevel="0" collapsed="false"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</row>
    <row r="92" customFormat="false" ht="12.75" hidden="false" customHeight="false" outlineLevel="0" collapsed="false"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</row>
    <row r="93" customFormat="false" ht="12.75" hidden="false" customHeight="false" outlineLevel="0" collapsed="false"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</row>
    <row r="94" customFormat="false" ht="12.75" hidden="false" customHeight="false" outlineLevel="0" collapsed="false"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</row>
    <row r="95" customFormat="false" ht="12.75" hidden="false" customHeight="false" outlineLevel="0" collapsed="false"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</row>
    <row r="96" customFormat="false" ht="12.75" hidden="false" customHeight="false" outlineLevel="0" collapsed="false"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</row>
    <row r="97" customFormat="false" ht="12.75" hidden="false" customHeight="false" outlineLevel="0" collapsed="false"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</row>
    <row r="98" customFormat="false" ht="12.75" hidden="false" customHeight="false" outlineLevel="0" collapsed="false"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</row>
    <row r="99" customFormat="false" ht="12.75" hidden="false" customHeight="false" outlineLevel="0" collapsed="false"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</row>
    <row r="100" customFormat="false" ht="12.75" hidden="false" customHeight="false" outlineLevel="0" collapsed="false"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</row>
    <row r="101" customFormat="false" ht="12.75" hidden="false" customHeight="false" outlineLevel="0" collapsed="false"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</row>
    <row r="102" customFormat="false" ht="12.75" hidden="false" customHeight="false" outlineLevel="0" collapsed="false"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</row>
    <row r="103" customFormat="false" ht="12.75" hidden="false" customHeight="false" outlineLevel="0" collapsed="false"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</row>
    <row r="104" customFormat="false" ht="12.75" hidden="false" customHeight="false" outlineLevel="0" collapsed="false"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</row>
    <row r="105" customFormat="false" ht="12.75" hidden="false" customHeight="false" outlineLevel="0" collapsed="false"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40" activeCellId="3" sqref="E38 C43 H38 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0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43"/>
      <c r="C1" s="30"/>
      <c r="F1" s="19" t="n">
        <v>12283</v>
      </c>
    </row>
    <row r="2" customFormat="false" ht="11.25" hidden="false" customHeight="false" outlineLevel="0" collapsed="false">
      <c r="A2" s="19"/>
      <c r="B2" s="19" t="s">
        <v>121</v>
      </c>
      <c r="C2" s="30"/>
      <c r="D2" s="144" t="s">
        <v>122</v>
      </c>
      <c r="E2" s="100"/>
      <c r="F2" s="144" t="s">
        <v>123</v>
      </c>
      <c r="G2" s="100"/>
      <c r="J2" s="100"/>
      <c r="K2" s="100"/>
      <c r="L2" s="144"/>
      <c r="M2" s="100"/>
    </row>
    <row r="3" customFormat="false" ht="11.25" hidden="false" customHeight="false" outlineLevel="0" collapsed="false">
      <c r="A3" s="24" t="s">
        <v>113</v>
      </c>
      <c r="B3" s="101" t="s">
        <v>114</v>
      </c>
      <c r="C3" s="145" t="s">
        <v>115</v>
      </c>
      <c r="D3" s="101" t="s">
        <v>114</v>
      </c>
      <c r="E3" s="101" t="s">
        <v>115</v>
      </c>
      <c r="F3" s="101" t="s">
        <v>114</v>
      </c>
      <c r="G3" s="101" t="s">
        <v>115</v>
      </c>
      <c r="I3" s="172"/>
      <c r="J3" s="24"/>
      <c r="K3" s="101"/>
      <c r="L3" s="101"/>
      <c r="M3" s="101"/>
    </row>
    <row r="4" customFormat="false" ht="12.75" hidden="false" customHeight="false" outlineLevel="0" collapsed="false">
      <c r="A4" s="146" t="n">
        <v>1</v>
      </c>
      <c r="B4" s="108" t="n">
        <v>-132997</v>
      </c>
      <c r="C4" s="108" t="n">
        <v>-79207</v>
      </c>
      <c r="D4" s="108" t="n">
        <v>-39109</v>
      </c>
      <c r="E4" s="108" t="n">
        <v>-92874</v>
      </c>
      <c r="F4" s="108"/>
      <c r="G4" s="108"/>
      <c r="H4" s="108" t="n">
        <f aca="false">+G4+E4+C4-F4-D4-B4</f>
        <v>25</v>
      </c>
      <c r="I4" s="108"/>
      <c r="J4" s="117"/>
      <c r="K4" s="128"/>
      <c r="L4" s="128"/>
      <c r="M4" s="128"/>
      <c r="N4" s="128"/>
      <c r="O4" s="1"/>
      <c r="P4" s="1"/>
    </row>
    <row r="5" customFormat="false" ht="12.75" hidden="false" customHeight="false" outlineLevel="0" collapsed="false">
      <c r="A5" s="146" t="n">
        <v>2</v>
      </c>
      <c r="B5" s="108" t="n">
        <v>-112568</v>
      </c>
      <c r="C5" s="108" t="n">
        <v>-53005</v>
      </c>
      <c r="D5" s="108" t="n">
        <v>-40001</v>
      </c>
      <c r="E5" s="108" t="n">
        <v>-99950</v>
      </c>
      <c r="F5" s="108"/>
      <c r="G5" s="108"/>
      <c r="H5" s="108" t="n">
        <f aca="false">+G5+E5+C5-F5-D5-B5</f>
        <v>-386</v>
      </c>
      <c r="I5" s="108"/>
      <c r="J5" s="117"/>
      <c r="K5" s="173"/>
      <c r="L5" s="5"/>
      <c r="M5" s="5"/>
      <c r="N5" s="174"/>
      <c r="O5" s="175" t="s">
        <v>124</v>
      </c>
      <c r="P5" s="174"/>
      <c r="Q5" s="19"/>
    </row>
    <row r="6" customFormat="false" ht="12.75" hidden="false" customHeight="false" outlineLevel="0" collapsed="false">
      <c r="A6" s="146" t="n">
        <v>3</v>
      </c>
      <c r="B6" s="108" t="n">
        <v>-144086</v>
      </c>
      <c r="C6" s="108" t="n">
        <v>-117734</v>
      </c>
      <c r="D6" s="108" t="n">
        <v>-40000</v>
      </c>
      <c r="E6" s="108" t="n">
        <v>-65000</v>
      </c>
      <c r="F6" s="108"/>
      <c r="G6" s="108"/>
      <c r="H6" s="108" t="n">
        <f aca="false">+G6+E6+C6-F6-D6-B6</f>
        <v>1352</v>
      </c>
      <c r="I6" s="108"/>
      <c r="J6" s="117"/>
      <c r="K6" s="173" t="s">
        <v>116</v>
      </c>
      <c r="L6" s="176" t="s">
        <v>114</v>
      </c>
      <c r="M6" s="176" t="s">
        <v>115</v>
      </c>
      <c r="N6" s="177" t="s">
        <v>117</v>
      </c>
      <c r="O6" s="175" t="s">
        <v>118</v>
      </c>
      <c r="P6" s="174" t="s">
        <v>119</v>
      </c>
      <c r="Q6" s="19"/>
    </row>
    <row r="7" customFormat="false" ht="12.75" hidden="false" customHeight="false" outlineLevel="0" collapsed="false">
      <c r="A7" s="146" t="n">
        <v>4</v>
      </c>
      <c r="B7" s="108" t="n">
        <v>-151514</v>
      </c>
      <c r="C7" s="108" t="n">
        <v>-150002</v>
      </c>
      <c r="D7" s="108" t="n">
        <v>-55771</v>
      </c>
      <c r="E7" s="108" t="n">
        <v>-56162</v>
      </c>
      <c r="F7" s="108"/>
      <c r="G7" s="108"/>
      <c r="H7" s="108" t="n">
        <f aca="false">+G7+E7+C7-F7-D7-B7</f>
        <v>1121</v>
      </c>
      <c r="I7" s="108"/>
      <c r="J7" s="11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6" t="n">
        <v>5</v>
      </c>
      <c r="B8" s="108" t="n">
        <v>-151656</v>
      </c>
      <c r="C8" s="108" t="n">
        <v>-150001</v>
      </c>
      <c r="D8" s="108" t="n">
        <v>-55077</v>
      </c>
      <c r="E8" s="108" t="n">
        <v>-56162</v>
      </c>
      <c r="F8" s="108"/>
      <c r="G8" s="108"/>
      <c r="H8" s="108" t="n">
        <f aca="false">+G8+E8+C8-F8-D8-B8</f>
        <v>570</v>
      </c>
      <c r="I8" s="108"/>
      <c r="J8" s="11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6" t="n">
        <v>6</v>
      </c>
      <c r="B9" s="108" t="n">
        <v>-153786</v>
      </c>
      <c r="C9" s="108" t="n">
        <v>-150001</v>
      </c>
      <c r="D9" s="108" t="n">
        <v>-52179</v>
      </c>
      <c r="E9" s="108" t="n">
        <v>-56162</v>
      </c>
      <c r="F9" s="108"/>
      <c r="G9" s="108"/>
      <c r="H9" s="108" t="n">
        <f aca="false">+G9+E9+C9-F9-D9-B9</f>
        <v>-198</v>
      </c>
      <c r="I9" s="108"/>
      <c r="J9" s="117"/>
      <c r="K9" s="173" t="n">
        <v>36892</v>
      </c>
      <c r="L9" s="128" t="n">
        <v>-715680</v>
      </c>
      <c r="M9" s="128" t="n">
        <v>-705664</v>
      </c>
      <c r="N9" s="128" t="n">
        <f aca="false">+M9-L9</f>
        <v>10016</v>
      </c>
      <c r="O9" s="175" t="n">
        <v>8.21</v>
      </c>
      <c r="P9" s="178" t="n">
        <f aca="false">+O9*N9</f>
        <v>82231.36</v>
      </c>
      <c r="Q9" s="19"/>
    </row>
    <row r="10" customFormat="false" ht="20.1" hidden="false" customHeight="true" outlineLevel="0" collapsed="false">
      <c r="A10" s="146" t="n">
        <v>7</v>
      </c>
      <c r="B10" s="108" t="n">
        <v>-138012</v>
      </c>
      <c r="C10" s="108" t="n">
        <v>-58418</v>
      </c>
      <c r="D10" s="108" t="n">
        <v>-1800</v>
      </c>
      <c r="E10" s="108" t="n">
        <v>-79718</v>
      </c>
      <c r="F10" s="108"/>
      <c r="G10" s="108"/>
      <c r="H10" s="108" t="n">
        <f aca="false">+G10+E10+C10-F10-D10-B10</f>
        <v>1676</v>
      </c>
      <c r="I10" s="108"/>
      <c r="J10" s="117"/>
      <c r="K10" s="173" t="n">
        <v>36923</v>
      </c>
      <c r="L10" s="128" t="n">
        <v>-661568</v>
      </c>
      <c r="M10" s="128" t="n">
        <v>-648307</v>
      </c>
      <c r="N10" s="128" t="n">
        <f aca="false">+M10-L10</f>
        <v>13261</v>
      </c>
      <c r="O10" s="175" t="n">
        <v>5.62</v>
      </c>
      <c r="P10" s="178" t="n">
        <f aca="false">+O10*N10</f>
        <v>74526.82</v>
      </c>
      <c r="Q10" s="19"/>
    </row>
    <row r="11" customFormat="false" ht="20.1" hidden="false" customHeight="true" outlineLevel="0" collapsed="false">
      <c r="A11" s="146" t="n">
        <v>8</v>
      </c>
      <c r="B11" s="108" t="n">
        <v>-144890</v>
      </c>
      <c r="C11" s="108" t="n">
        <v>-82115</v>
      </c>
      <c r="D11" s="108" t="n">
        <v>-48170</v>
      </c>
      <c r="E11" s="108" t="n">
        <v>-109950</v>
      </c>
      <c r="F11" s="108"/>
      <c r="G11" s="108"/>
      <c r="H11" s="108" t="n">
        <f aca="false">+G11+E11+C11-F11-D11-B11</f>
        <v>995</v>
      </c>
      <c r="I11" s="108"/>
      <c r="J11" s="117"/>
      <c r="K11" s="173" t="n">
        <v>36951</v>
      </c>
      <c r="L11" s="128" t="n">
        <v>-1831536</v>
      </c>
      <c r="M11" s="128" t="n">
        <v>-1828209</v>
      </c>
      <c r="N11" s="128" t="n">
        <f aca="false">+M11-L11</f>
        <v>3327</v>
      </c>
      <c r="O11" s="175" t="n">
        <v>4.98</v>
      </c>
      <c r="P11" s="178" t="n">
        <f aca="false">+O11*N11</f>
        <v>16568.46</v>
      </c>
      <c r="Q11" s="19"/>
    </row>
    <row r="12" customFormat="false" ht="20.1" hidden="false" customHeight="true" outlineLevel="0" collapsed="false">
      <c r="A12" s="146" t="n">
        <v>9</v>
      </c>
      <c r="B12" s="108" t="n">
        <v>-123111</v>
      </c>
      <c r="C12" s="108" t="n">
        <v>-64023</v>
      </c>
      <c r="D12" s="108" t="n">
        <v>-1611</v>
      </c>
      <c r="E12" s="108" t="n">
        <v>-59950</v>
      </c>
      <c r="F12" s="108"/>
      <c r="G12" s="108"/>
      <c r="H12" s="108" t="n">
        <f aca="false">+G12+E12+C12-F12-D12-B12</f>
        <v>749</v>
      </c>
      <c r="I12" s="108"/>
      <c r="J12" s="117"/>
      <c r="K12" s="173" t="n">
        <v>36982</v>
      </c>
      <c r="L12" s="128" t="n">
        <f aca="false">-3230259-283308-283488+283308</f>
        <v>-3513747</v>
      </c>
      <c r="M12" s="128" t="n">
        <v>-3486797</v>
      </c>
      <c r="N12" s="128" t="n">
        <f aca="false">+M12-L12</f>
        <v>26950</v>
      </c>
      <c r="O12" s="175" t="n">
        <v>4.87</v>
      </c>
      <c r="P12" s="178" t="n">
        <f aca="false">+O12*N12</f>
        <v>131246.5</v>
      </c>
      <c r="Q12" s="19"/>
    </row>
    <row r="13" customFormat="false" ht="20.1" hidden="false" customHeight="true" outlineLevel="0" collapsed="false">
      <c r="A13" s="146" t="n">
        <v>10</v>
      </c>
      <c r="B13" s="108" t="n">
        <v>-150424</v>
      </c>
      <c r="C13" s="108" t="n">
        <v>-90703</v>
      </c>
      <c r="D13" s="108"/>
      <c r="E13" s="108" t="n">
        <v>-59808</v>
      </c>
      <c r="F13" s="108"/>
      <c r="G13" s="108"/>
      <c r="H13" s="108" t="n">
        <f aca="false">+G13+E13+C13-F13-D13-B13</f>
        <v>-87</v>
      </c>
      <c r="I13" s="108"/>
      <c r="J13" s="117"/>
      <c r="K13" s="173" t="n">
        <v>37012</v>
      </c>
      <c r="L13" s="128" t="n">
        <v>-3735499</v>
      </c>
      <c r="M13" s="128" t="n">
        <v>-3753054</v>
      </c>
      <c r="N13" s="128" t="n">
        <f aca="false">+M13-L13</f>
        <v>-17555</v>
      </c>
      <c r="O13" s="175" t="n">
        <v>3.82</v>
      </c>
      <c r="P13" s="178" t="n">
        <f aca="false">+O13*N13</f>
        <v>-67060.1</v>
      </c>
      <c r="Q13" s="103"/>
    </row>
    <row r="14" customFormat="false" ht="20.1" hidden="false" customHeight="true" outlineLevel="0" collapsed="false">
      <c r="A14" s="146" t="n">
        <v>11</v>
      </c>
      <c r="B14" s="108" t="n">
        <v>-159237</v>
      </c>
      <c r="C14" s="108" t="n">
        <v>-138136</v>
      </c>
      <c r="D14" s="108" t="n">
        <v>-58416</v>
      </c>
      <c r="E14" s="108" t="n">
        <v>-79950</v>
      </c>
      <c r="F14" s="108"/>
      <c r="G14" s="108"/>
      <c r="H14" s="108" t="n">
        <f aca="false">+G14+E14+C14-F14-D14-B14</f>
        <v>-433</v>
      </c>
      <c r="I14" s="108"/>
      <c r="J14" s="117"/>
      <c r="K14" s="173" t="n">
        <v>37043</v>
      </c>
      <c r="L14" s="128" t="n">
        <f aca="false">-4979779-80784</f>
        <v>-5060563</v>
      </c>
      <c r="M14" s="128" t="n">
        <v>-5025875</v>
      </c>
      <c r="N14" s="128" t="n">
        <f aca="false">+M14-L14</f>
        <v>34688</v>
      </c>
      <c r="O14" s="175" t="n">
        <v>3.2</v>
      </c>
      <c r="P14" s="178" t="n">
        <f aca="false">+O14*N14</f>
        <v>111001.6</v>
      </c>
      <c r="Q14" s="103"/>
    </row>
    <row r="15" customFormat="false" ht="20.1" hidden="false" customHeight="true" outlineLevel="0" collapsed="false">
      <c r="A15" s="146" t="n">
        <v>12</v>
      </c>
      <c r="B15" s="108" t="n">
        <v>-153130</v>
      </c>
      <c r="C15" s="108" t="n">
        <v>-130080</v>
      </c>
      <c r="D15" s="108" t="n">
        <v>-56945</v>
      </c>
      <c r="E15" s="108" t="n">
        <v>-79950</v>
      </c>
      <c r="F15" s="108"/>
      <c r="G15" s="108"/>
      <c r="H15" s="108" t="n">
        <f aca="false">+G15+E15+C15-F15-D15-B15</f>
        <v>45</v>
      </c>
      <c r="I15" s="108"/>
      <c r="J15" s="117"/>
      <c r="K15" s="173" t="n">
        <v>37073</v>
      </c>
      <c r="L15" s="128" t="n">
        <v>-4565965</v>
      </c>
      <c r="M15" s="128" t="n">
        <v>-4525416</v>
      </c>
      <c r="N15" s="128" t="n">
        <f aca="false">+M15-L15</f>
        <v>40549</v>
      </c>
      <c r="O15" s="175" t="n">
        <v>2.77</v>
      </c>
      <c r="P15" s="179" t="n">
        <f aca="false">+O15*N15</f>
        <v>112320.73</v>
      </c>
      <c r="Q15" s="19"/>
    </row>
    <row r="16" customFormat="false" ht="20.1" hidden="false" customHeight="true" outlineLevel="0" collapsed="false">
      <c r="A16" s="146" t="n">
        <v>13</v>
      </c>
      <c r="B16" s="108" t="n">
        <v>-136048</v>
      </c>
      <c r="C16" s="108" t="n">
        <v>-141366</v>
      </c>
      <c r="D16" s="108" t="n">
        <v>-105213</v>
      </c>
      <c r="E16" s="108" t="n">
        <v>-100666</v>
      </c>
      <c r="F16" s="108"/>
      <c r="G16" s="108"/>
      <c r="H16" s="108" t="n">
        <f aca="false">+G16+E16+C16-F16-D16-B16</f>
        <v>-771</v>
      </c>
      <c r="I16" s="108"/>
      <c r="J16" s="117"/>
      <c r="K16" s="5"/>
      <c r="L16" s="128"/>
      <c r="M16" s="128"/>
      <c r="N16" s="128"/>
      <c r="O16" s="180"/>
      <c r="P16" s="181" t="n">
        <f aca="false">SUM(P9:P15)</f>
        <v>460835.37</v>
      </c>
      <c r="Q16" s="19"/>
    </row>
    <row r="17" customFormat="false" ht="13.5" hidden="false" customHeight="false" outlineLevel="0" collapsed="false">
      <c r="A17" s="146" t="n">
        <v>14</v>
      </c>
      <c r="B17" s="108" t="n">
        <v>-141659</v>
      </c>
      <c r="C17" s="108" t="n">
        <v>-117756</v>
      </c>
      <c r="D17" s="108" t="n">
        <v>-48404</v>
      </c>
      <c r="E17" s="108" t="n">
        <v>-72615</v>
      </c>
      <c r="F17" s="108"/>
      <c r="G17" s="108"/>
      <c r="H17" s="108" t="n">
        <f aca="false">+G17+E17+C17-F17-D17-B17</f>
        <v>-308</v>
      </c>
      <c r="I17" s="108"/>
      <c r="J17" s="11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6" t="n">
        <v>15</v>
      </c>
      <c r="B18" s="108" t="n">
        <v>-141744</v>
      </c>
      <c r="C18" s="108" t="n">
        <v>-97671</v>
      </c>
      <c r="D18" s="108" t="n">
        <v>-39144</v>
      </c>
      <c r="E18" s="108" t="n">
        <v>-73315</v>
      </c>
      <c r="F18" s="108"/>
      <c r="G18" s="108"/>
      <c r="H18" s="108" t="n">
        <f aca="false">+G18+E18+C18-F18-D18-B18</f>
        <v>9902</v>
      </c>
      <c r="I18" s="108"/>
      <c r="J18" s="11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6" t="n">
        <v>16</v>
      </c>
      <c r="B19" s="108" t="n">
        <v>-131618</v>
      </c>
      <c r="C19" s="108" t="n">
        <v>-109589</v>
      </c>
      <c r="D19" s="108" t="n">
        <v>-88744</v>
      </c>
      <c r="E19" s="108" t="n">
        <v>-109950</v>
      </c>
      <c r="F19" s="108"/>
      <c r="G19" s="108"/>
      <c r="H19" s="108" t="n">
        <f aca="false">+G19+E19+C19-F19-D19-B19</f>
        <v>823</v>
      </c>
      <c r="I19" s="108"/>
      <c r="J19" s="11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6" t="n">
        <v>17</v>
      </c>
      <c r="B20" s="108" t="n">
        <v>-142840</v>
      </c>
      <c r="C20" s="108" t="n">
        <v>-150006</v>
      </c>
      <c r="D20" s="108" t="n">
        <v>-124297</v>
      </c>
      <c r="E20" s="108" t="n">
        <v>-120000</v>
      </c>
      <c r="F20" s="108"/>
      <c r="G20" s="108"/>
      <c r="H20" s="108" t="n">
        <f aca="false">+G20+E20+C20-F20-D20-B20</f>
        <v>-2869</v>
      </c>
      <c r="I20" s="108"/>
      <c r="J20" s="11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6" t="n">
        <v>18</v>
      </c>
      <c r="B21" s="108" t="n">
        <v>-100414</v>
      </c>
      <c r="C21" s="108" t="n">
        <v>-81014</v>
      </c>
      <c r="D21" s="108" t="n">
        <v>-83965</v>
      </c>
      <c r="E21" s="108" t="n">
        <v>-102848</v>
      </c>
      <c r="F21" s="108"/>
      <c r="G21" s="108"/>
      <c r="H21" s="108" t="n">
        <f aca="false">+G21+E21+C21-F21-D21-B21</f>
        <v>517</v>
      </c>
      <c r="I21" s="108"/>
      <c r="J21" s="117"/>
      <c r="K21" s="150"/>
      <c r="L21" s="108"/>
      <c r="M21" s="108"/>
      <c r="N21" s="108"/>
      <c r="O21" s="19"/>
      <c r="P21" s="19"/>
      <c r="Q21" s="19"/>
    </row>
    <row r="22" customFormat="false" ht="11.25" hidden="false" customHeight="false" outlineLevel="0" collapsed="false">
      <c r="A22" s="146" t="n">
        <v>19</v>
      </c>
      <c r="B22" s="108" t="n">
        <v>-107048</v>
      </c>
      <c r="C22" s="108" t="n">
        <v>-80107</v>
      </c>
      <c r="D22" s="108" t="n">
        <v>-83003</v>
      </c>
      <c r="E22" s="108" t="n">
        <v>-111256</v>
      </c>
      <c r="F22" s="108"/>
      <c r="G22" s="108"/>
      <c r="H22" s="108" t="n">
        <f aca="false">+G22+E22+C22-F22-D22-B22</f>
        <v>-1312</v>
      </c>
      <c r="I22" s="108"/>
      <c r="J22" s="117"/>
      <c r="K22" s="150"/>
      <c r="L22" s="108"/>
      <c r="M22" s="108"/>
      <c r="N22" s="108"/>
      <c r="O22" s="19"/>
      <c r="P22" s="19"/>
      <c r="Q22" s="19"/>
    </row>
    <row r="23" customFormat="false" ht="11.25" hidden="false" customHeight="false" outlineLevel="0" collapsed="false">
      <c r="A23" s="146" t="n">
        <v>20</v>
      </c>
      <c r="B23" s="108" t="n">
        <v>-119742</v>
      </c>
      <c r="C23" s="108" t="n">
        <v>-81015</v>
      </c>
      <c r="D23" s="108" t="n">
        <v>-57920</v>
      </c>
      <c r="E23" s="108" t="n">
        <v>-97982</v>
      </c>
      <c r="F23" s="108"/>
      <c r="G23" s="108"/>
      <c r="H23" s="108" t="n">
        <f aca="false">+G23+E23+C23-F23-D23-B23</f>
        <v>-1335</v>
      </c>
      <c r="I23" s="108"/>
      <c r="J23" s="117"/>
      <c r="K23" s="150"/>
      <c r="L23" s="108"/>
      <c r="M23" s="108"/>
      <c r="N23" s="108"/>
      <c r="O23" s="19"/>
      <c r="P23" s="19"/>
      <c r="Q23" s="19"/>
    </row>
    <row r="24" customFormat="false" ht="11.25" hidden="false" customHeight="false" outlineLevel="0" collapsed="false">
      <c r="A24" s="146" t="n">
        <v>21</v>
      </c>
      <c r="B24" s="108" t="n">
        <v>-141966</v>
      </c>
      <c r="C24" s="108" t="n">
        <v>-127453</v>
      </c>
      <c r="D24" s="108" t="n">
        <v>-96866</v>
      </c>
      <c r="E24" s="108" t="n">
        <v>-114950</v>
      </c>
      <c r="F24" s="108"/>
      <c r="G24" s="108"/>
      <c r="H24" s="108" t="n">
        <f aca="false">+G24+E24+C24-F24-D24-B24</f>
        <v>-3571</v>
      </c>
      <c r="I24" s="108"/>
      <c r="J24" s="117"/>
      <c r="K24" s="150"/>
      <c r="L24" s="108"/>
      <c r="M24" s="108"/>
      <c r="N24" s="108"/>
      <c r="O24" s="19"/>
      <c r="P24" s="19"/>
      <c r="Q24" s="19"/>
    </row>
    <row r="25" customFormat="false" ht="11.25" hidden="false" customHeight="false" outlineLevel="0" collapsed="false">
      <c r="A25" s="146" t="n">
        <v>22</v>
      </c>
      <c r="B25" s="108" t="n">
        <v>-137154</v>
      </c>
      <c r="C25" s="108" t="n">
        <v>-120862</v>
      </c>
      <c r="D25" s="108" t="n">
        <v>-74547</v>
      </c>
      <c r="E25" s="108" t="n">
        <v>-91154</v>
      </c>
      <c r="F25" s="108"/>
      <c r="G25" s="108"/>
      <c r="H25" s="108" t="n">
        <f aca="false">+G25+E25+C25-F25-D25-B25</f>
        <v>-315</v>
      </c>
      <c r="I25" s="108"/>
      <c r="J25" s="117"/>
      <c r="K25" s="150"/>
      <c r="L25" s="108"/>
      <c r="M25" s="108"/>
      <c r="N25" s="108"/>
      <c r="O25" s="19"/>
      <c r="P25" s="19"/>
      <c r="Q25" s="19"/>
    </row>
    <row r="26" customFormat="false" ht="11.25" hidden="false" customHeight="false" outlineLevel="0" collapsed="false">
      <c r="A26" s="146" t="n">
        <v>23</v>
      </c>
      <c r="B26" s="108" t="n">
        <v>-134417</v>
      </c>
      <c r="C26" s="108" t="n">
        <v>-119653</v>
      </c>
      <c r="D26" s="108" t="n">
        <v>-82490</v>
      </c>
      <c r="E26" s="108" t="n">
        <v>-96940</v>
      </c>
      <c r="F26" s="108"/>
      <c r="G26" s="108"/>
      <c r="H26" s="108" t="n">
        <f aca="false">+G26+E26+C26-F26-D26-B26</f>
        <v>314</v>
      </c>
      <c r="I26" s="108"/>
      <c r="J26" s="117"/>
      <c r="K26" s="150"/>
      <c r="L26" s="108"/>
      <c r="M26" s="108"/>
      <c r="N26" s="108"/>
      <c r="O26" s="19"/>
      <c r="P26" s="19"/>
      <c r="Q26" s="19"/>
    </row>
    <row r="27" customFormat="false" ht="11.25" hidden="false" customHeight="false" outlineLevel="0" collapsed="false">
      <c r="A27" s="146" t="n">
        <v>24</v>
      </c>
      <c r="B27" s="108" t="n">
        <v>-135500</v>
      </c>
      <c r="C27" s="108" t="n">
        <v>-150005</v>
      </c>
      <c r="D27" s="108" t="n">
        <v>-80514</v>
      </c>
      <c r="E27" s="108" t="n">
        <v>-64929</v>
      </c>
      <c r="F27" s="108"/>
      <c r="G27" s="108"/>
      <c r="H27" s="108" t="n">
        <f aca="false">+G27+E27+C27-F27-D27-B27</f>
        <v>1080</v>
      </c>
      <c r="I27" s="108"/>
      <c r="J27" s="117"/>
      <c r="K27" s="150"/>
      <c r="L27" s="108"/>
      <c r="M27" s="108"/>
      <c r="N27" s="108"/>
      <c r="O27" s="19"/>
      <c r="P27" s="19"/>
      <c r="Q27" s="19"/>
    </row>
    <row r="28" customFormat="false" ht="11.25" hidden="false" customHeight="false" outlineLevel="0" collapsed="false">
      <c r="A28" s="146" t="n">
        <v>25</v>
      </c>
      <c r="B28" s="108" t="n">
        <v>-135337</v>
      </c>
      <c r="C28" s="108" t="n">
        <v>-95571</v>
      </c>
      <c r="D28" s="108" t="n">
        <v>-68776</v>
      </c>
      <c r="E28" s="108" t="n">
        <v>-107555</v>
      </c>
      <c r="F28" s="108"/>
      <c r="G28" s="108"/>
      <c r="H28" s="108" t="n">
        <f aca="false">+G28+E28+C28-F28-D28-B28</f>
        <v>987</v>
      </c>
      <c r="I28" s="108"/>
      <c r="J28" s="117"/>
      <c r="K28" s="150"/>
      <c r="L28" s="108"/>
      <c r="M28" s="108"/>
      <c r="N28" s="108"/>
    </row>
    <row r="29" customFormat="false" ht="11.25" hidden="false" customHeight="false" outlineLevel="0" collapsed="false">
      <c r="A29" s="146" t="n">
        <v>26</v>
      </c>
      <c r="B29" s="108" t="n">
        <v>-134313</v>
      </c>
      <c r="C29" s="108" t="n">
        <v>-95571</v>
      </c>
      <c r="D29" s="108" t="n">
        <v>-71537</v>
      </c>
      <c r="E29" s="108" t="n">
        <v>-110769</v>
      </c>
      <c r="F29" s="108"/>
      <c r="G29" s="108"/>
      <c r="H29" s="108" t="n">
        <f aca="false">+G29+E29+C29-F29-D29-B29</f>
        <v>-490</v>
      </c>
      <c r="I29" s="108"/>
      <c r="J29" s="117"/>
      <c r="K29" s="150"/>
      <c r="L29" s="108"/>
      <c r="M29" s="108"/>
      <c r="N29" s="108"/>
    </row>
    <row r="30" customFormat="false" ht="11.25" hidden="false" customHeight="false" outlineLevel="0" collapsed="false">
      <c r="A30" s="146" t="n">
        <v>27</v>
      </c>
      <c r="B30" s="108" t="n">
        <v>-131544</v>
      </c>
      <c r="C30" s="108" t="n">
        <v>-90089</v>
      </c>
      <c r="D30" s="108" t="n">
        <v>-71973</v>
      </c>
      <c r="E30" s="108" t="n">
        <v>-112890</v>
      </c>
      <c r="F30" s="108"/>
      <c r="G30" s="108"/>
      <c r="H30" s="108" t="n">
        <f aca="false">+G30+E30+C30-F30-D30-B30</f>
        <v>538</v>
      </c>
      <c r="I30" s="108"/>
      <c r="J30" s="117"/>
      <c r="K30" s="150"/>
      <c r="L30" s="108"/>
      <c r="M30" s="108"/>
      <c r="N30" s="108"/>
    </row>
    <row r="31" customFormat="false" ht="11.25" hidden="false" customHeight="false" outlineLevel="0" collapsed="false">
      <c r="A31" s="146" t="n">
        <v>28</v>
      </c>
      <c r="B31" s="108"/>
      <c r="C31" s="108"/>
      <c r="D31" s="108"/>
      <c r="E31" s="108"/>
      <c r="F31" s="108"/>
      <c r="G31" s="108"/>
      <c r="H31" s="108" t="n">
        <f aca="false">+G31+E31+C31-F31-D31-B31</f>
        <v>0</v>
      </c>
      <c r="I31" s="108"/>
      <c r="J31" s="117"/>
      <c r="K31" s="150"/>
      <c r="L31" s="108"/>
      <c r="M31" s="108"/>
      <c r="N31" s="108"/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08"/>
      <c r="G32" s="108"/>
      <c r="H32" s="108" t="n">
        <f aca="false">+G32+E32+C32-F32-D32-B32</f>
        <v>0</v>
      </c>
      <c r="I32" s="108"/>
      <c r="J32" s="117"/>
      <c r="K32" s="150"/>
      <c r="L32" s="108"/>
      <c r="M32" s="108"/>
      <c r="N32" s="108"/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08"/>
      <c r="G33" s="108"/>
      <c r="H33" s="108" t="n">
        <f aca="false">+G33+E33+C33-F33-D33-B33</f>
        <v>0</v>
      </c>
      <c r="J33" s="103"/>
      <c r="K33" s="168"/>
    </row>
    <row r="34" customFormat="false" ht="11.25" hidden="false" customHeight="false" outlineLevel="0" collapsed="false">
      <c r="A34" s="146" t="n">
        <v>31</v>
      </c>
      <c r="B34" s="147"/>
      <c r="C34" s="147"/>
      <c r="D34" s="147"/>
      <c r="E34" s="147"/>
      <c r="F34" s="147"/>
      <c r="G34" s="147"/>
      <c r="H34" s="108" t="n">
        <f aca="false">+G34+E34+C34-F34-D34-B34</f>
        <v>0</v>
      </c>
      <c r="I34" s="108"/>
      <c r="J34" s="117"/>
      <c r="K34" s="150"/>
      <c r="L34" s="108"/>
      <c r="M34" s="108"/>
      <c r="N34" s="108"/>
    </row>
    <row r="35" customFormat="false" ht="11.25" hidden="false" customHeight="false" outlineLevel="0" collapsed="false">
      <c r="A35" s="146"/>
      <c r="B35" s="108" t="n">
        <f aca="false">SUM(B4:B34)</f>
        <v>-3686755</v>
      </c>
      <c r="C35" s="148" t="n">
        <f aca="false">SUM(C4:C34)</f>
        <v>-2921153</v>
      </c>
      <c r="D35" s="108" t="n">
        <f aca="false">SUM(D4:D34)</f>
        <v>-1626472</v>
      </c>
      <c r="E35" s="148" t="n">
        <f aca="false">SUM(E4:E34)</f>
        <v>-2383455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8619</v>
      </c>
      <c r="I35" s="108"/>
      <c r="J35" s="117"/>
      <c r="K35" s="150"/>
      <c r="L35" s="108"/>
      <c r="M35" s="108"/>
      <c r="N35" s="108"/>
    </row>
    <row r="36" customFormat="false" ht="11.25" hidden="false" customHeight="false" outlineLevel="0" collapsed="false">
      <c r="A36" s="149"/>
      <c r="B36" s="63"/>
      <c r="C36" s="108"/>
      <c r="D36" s="108"/>
      <c r="E36" s="108"/>
      <c r="F36" s="108"/>
      <c r="G36" s="108"/>
      <c r="H36" s="150" t="n">
        <f aca="false">+summary!H4</f>
        <v>2.81</v>
      </c>
      <c r="I36" s="108"/>
      <c r="J36" s="117"/>
      <c r="K36" s="150"/>
      <c r="L36" s="108"/>
      <c r="M36" s="108"/>
      <c r="N36" s="108"/>
    </row>
    <row r="37" customFormat="false" ht="11.25" hidden="false" customHeight="false" outlineLevel="0" collapsed="false">
      <c r="B37" s="63"/>
      <c r="C37" s="30"/>
      <c r="D37" s="79"/>
      <c r="E37" s="79"/>
      <c r="F37" s="79"/>
      <c r="G37" s="79"/>
      <c r="H37" s="131" t="n">
        <f aca="false">+H36*H35</f>
        <v>24219.39</v>
      </c>
      <c r="I37" s="108"/>
      <c r="J37" s="117"/>
      <c r="K37" s="150"/>
      <c r="L37" s="108"/>
      <c r="M37" s="108"/>
      <c r="N37" s="108"/>
    </row>
    <row r="38" customFormat="false" ht="11.25" hidden="false" customHeight="false" outlineLevel="0" collapsed="false">
      <c r="C38" s="108"/>
      <c r="D38" s="16"/>
      <c r="E38" s="182" t="n">
        <v>37103</v>
      </c>
      <c r="F38" s="16"/>
      <c r="G38" s="151"/>
      <c r="H38" s="183" t="n">
        <v>460835.37</v>
      </c>
      <c r="J38" s="117"/>
      <c r="K38" s="30"/>
      <c r="L38" s="30"/>
      <c r="M38" s="30"/>
      <c r="N38" s="63"/>
    </row>
    <row r="39" customFormat="false" ht="11.25" hidden="false" customHeight="false" outlineLevel="0" collapsed="false">
      <c r="C39" s="30"/>
      <c r="D39" s="16"/>
      <c r="E39" s="152" t="n">
        <v>37130</v>
      </c>
      <c r="F39" s="16"/>
      <c r="G39" s="16"/>
      <c r="H39" s="131" t="n">
        <f aca="false">+H38+H37</f>
        <v>485054.76</v>
      </c>
      <c r="J39" s="117"/>
      <c r="K39" s="79"/>
      <c r="L39" s="79"/>
      <c r="M39" s="79"/>
      <c r="N39" s="150"/>
    </row>
    <row r="40" customFormat="false" ht="11.25" hidden="false" customHeight="false" outlineLevel="0" collapsed="false">
      <c r="C40" s="30"/>
      <c r="D40" s="153"/>
      <c r="E40" s="153"/>
      <c r="F40" s="152"/>
      <c r="G40" s="153"/>
      <c r="H40" s="184"/>
      <c r="I40" s="108"/>
      <c r="J40" s="117"/>
      <c r="K40" s="151"/>
      <c r="L40" s="16"/>
      <c r="M40" s="151"/>
      <c r="N40" s="150"/>
    </row>
    <row r="41" customFormat="false" ht="11.25" hidden="false" customHeight="false" outlineLevel="0" collapsed="false">
      <c r="C41" s="30"/>
      <c r="D41" s="153"/>
      <c r="E41" s="153"/>
      <c r="F41" s="152"/>
      <c r="G41" s="153"/>
      <c r="H41" s="184"/>
      <c r="I41" s="108"/>
      <c r="J41" s="117"/>
      <c r="K41" s="16"/>
      <c r="L41" s="16"/>
      <c r="M41" s="16"/>
      <c r="N41" s="108"/>
    </row>
    <row r="42" customFormat="false" ht="11.25" hidden="false" customHeight="false" outlineLevel="0" collapsed="false">
      <c r="A42" s="123"/>
      <c r="B42" s="108"/>
      <c r="C42" s="108"/>
      <c r="D42" s="108"/>
      <c r="E42" s="108"/>
      <c r="F42" s="108"/>
      <c r="G42" s="108"/>
      <c r="H42" s="108"/>
      <c r="J42" s="117"/>
      <c r="K42" s="153"/>
      <c r="L42" s="153"/>
      <c r="M42" s="153"/>
      <c r="N42" s="184"/>
    </row>
    <row r="43" customFormat="false" ht="11.25" hidden="false" customHeight="false" outlineLevel="0" collapsed="false">
      <c r="A43" s="123"/>
      <c r="B43" s="108"/>
      <c r="C43" s="108"/>
      <c r="D43" s="108"/>
      <c r="E43" s="108"/>
      <c r="F43" s="108"/>
      <c r="G43" s="108"/>
      <c r="H43" s="108"/>
      <c r="J43" s="117"/>
      <c r="K43" s="153"/>
      <c r="L43" s="153"/>
      <c r="M43" s="153"/>
      <c r="N43" s="184"/>
    </row>
    <row r="44" customFormat="false" ht="11.25" hidden="false" customHeight="false" outlineLevel="0" collapsed="false">
      <c r="A44" s="123"/>
      <c r="B44" s="108"/>
      <c r="C44" s="108"/>
      <c r="D44" s="108"/>
      <c r="E44" s="108"/>
      <c r="F44" s="108"/>
      <c r="G44" s="108"/>
      <c r="H44" s="108"/>
      <c r="J44" s="117"/>
    </row>
    <row r="45" customFormat="false" ht="11.25" hidden="false" customHeight="false" outlineLevel="0" collapsed="false">
      <c r="A45" s="123"/>
      <c r="B45" s="9" t="s">
        <v>125</v>
      </c>
      <c r="F45" s="108"/>
      <c r="G45" s="108"/>
      <c r="H45" s="108"/>
      <c r="J45" s="117"/>
    </row>
    <row r="46" customFormat="false" ht="11.25" hidden="false" customHeight="false" outlineLevel="0" collapsed="false">
      <c r="A46" s="123"/>
      <c r="B46" s="124" t="n">
        <f aca="false">+E38</f>
        <v>37103</v>
      </c>
      <c r="E46" s="30" t="n">
        <v>111236</v>
      </c>
      <c r="F46" s="108"/>
      <c r="G46" s="108"/>
      <c r="H46" s="108"/>
      <c r="J46" s="117"/>
      <c r="L46" s="19"/>
    </row>
    <row r="47" customFormat="false" ht="11.25" hidden="false" customHeight="false" outlineLevel="0" collapsed="false">
      <c r="A47" s="123"/>
      <c r="B47" s="124" t="n">
        <f aca="false">+E39</f>
        <v>37130</v>
      </c>
      <c r="E47" s="37" t="n">
        <f aca="false">+H35</f>
        <v>8619</v>
      </c>
      <c r="F47" s="108"/>
      <c r="G47" s="108"/>
      <c r="H47" s="108"/>
      <c r="J47" s="117"/>
      <c r="L47" s="19"/>
    </row>
    <row r="48" customFormat="false" ht="11.25" hidden="false" customHeight="false" outlineLevel="0" collapsed="false">
      <c r="A48" s="123"/>
      <c r="E48" s="30" t="n">
        <f aca="false">+E47+E46</f>
        <v>119855</v>
      </c>
      <c r="F48" s="108"/>
      <c r="G48" s="108"/>
      <c r="H48" s="108"/>
      <c r="J48" s="117"/>
      <c r="K48" s="100"/>
      <c r="L48" s="144"/>
      <c r="M48" s="100"/>
    </row>
    <row r="49" customFormat="false" ht="12.75" hidden="false" customHeight="false" outlineLevel="0" collapsed="false">
      <c r="A49" s="123"/>
      <c r="B49" s="127"/>
      <c r="C49" s="128"/>
      <c r="D49" s="129"/>
      <c r="E49" s="129"/>
      <c r="F49" s="108"/>
      <c r="G49" s="108"/>
      <c r="H49" s="108"/>
      <c r="I49" s="145"/>
      <c r="J49" s="117"/>
      <c r="K49" s="101"/>
      <c r="L49" s="101"/>
      <c r="M49" s="101"/>
    </row>
    <row r="50" customFormat="false" ht="11.25" hidden="false" customHeight="false" outlineLevel="0" collapsed="false">
      <c r="A50" s="123"/>
      <c r="B50" s="108"/>
      <c r="C50" s="108"/>
      <c r="D50" s="108"/>
      <c r="E50" s="108"/>
      <c r="F50" s="108"/>
      <c r="G50" s="108"/>
      <c r="H50" s="108"/>
      <c r="I50" s="108"/>
      <c r="J50" s="117"/>
      <c r="K50" s="108"/>
      <c r="L50" s="108"/>
      <c r="M50" s="108"/>
      <c r="N50" s="108"/>
      <c r="O50" s="63"/>
    </row>
    <row r="51" customFormat="false" ht="11.25" hidden="false" customHeight="false" outlineLevel="0" collapsed="false">
      <c r="A51" s="123"/>
      <c r="B51" s="108"/>
      <c r="C51" s="108"/>
      <c r="D51" s="108"/>
      <c r="E51" s="108"/>
      <c r="F51" s="108"/>
      <c r="G51" s="108"/>
      <c r="H51" s="108"/>
      <c r="I51" s="108"/>
      <c r="J51" s="117"/>
      <c r="K51" s="108"/>
      <c r="L51" s="108"/>
      <c r="M51" s="108"/>
      <c r="N51" s="108"/>
    </row>
    <row r="52" customFormat="false" ht="11.25" hidden="false" customHeight="false" outlineLevel="0" collapsed="false">
      <c r="A52" s="123"/>
      <c r="B52" s="108"/>
      <c r="C52" s="108"/>
      <c r="D52" s="108"/>
      <c r="E52" s="108"/>
      <c r="F52" s="108"/>
      <c r="G52" s="108"/>
      <c r="H52" s="108"/>
      <c r="I52" s="108"/>
      <c r="J52" s="117"/>
      <c r="K52" s="108"/>
      <c r="L52" s="108"/>
      <c r="M52" s="108"/>
      <c r="N52" s="108"/>
    </row>
    <row r="53" customFormat="false" ht="11.25" hidden="false" customHeight="false" outlineLevel="0" collapsed="false">
      <c r="A53" s="123"/>
      <c r="B53" s="108"/>
      <c r="C53" s="108"/>
      <c r="D53" s="108"/>
      <c r="E53" s="150"/>
      <c r="F53" s="108"/>
      <c r="G53" s="108"/>
      <c r="H53" s="108"/>
      <c r="I53" s="108"/>
      <c r="J53" s="117"/>
      <c r="K53" s="108"/>
      <c r="L53" s="108"/>
      <c r="M53" s="108"/>
      <c r="N53" s="108"/>
    </row>
    <row r="54" customFormat="false" ht="11.25" hidden="false" customHeight="false" outlineLevel="0" collapsed="false">
      <c r="A54" s="123"/>
      <c r="B54" s="108"/>
      <c r="C54" s="108"/>
      <c r="D54" s="108"/>
      <c r="E54" s="150"/>
      <c r="F54" s="108"/>
      <c r="G54" s="108"/>
      <c r="H54" s="108"/>
      <c r="I54" s="108"/>
      <c r="J54" s="117"/>
      <c r="K54" s="108"/>
      <c r="L54" s="108"/>
      <c r="M54" s="108"/>
      <c r="N54" s="108"/>
    </row>
    <row r="55" customFormat="false" ht="11.25" hidden="false" customHeight="false" outlineLevel="0" collapsed="false">
      <c r="A55" s="123"/>
      <c r="B55" s="108"/>
      <c r="C55" s="108"/>
      <c r="D55" s="108"/>
      <c r="E55" s="108"/>
      <c r="F55" s="108"/>
      <c r="G55" s="108"/>
      <c r="H55" s="108"/>
      <c r="I55" s="108"/>
      <c r="J55" s="117"/>
      <c r="K55" s="108"/>
      <c r="L55" s="108"/>
      <c r="M55" s="108"/>
      <c r="N55" s="108"/>
    </row>
    <row r="56" customFormat="false" ht="11.25" hidden="false" customHeight="false" outlineLevel="0" collapsed="false">
      <c r="A56" s="123"/>
      <c r="B56" s="108"/>
      <c r="C56" s="108"/>
      <c r="D56" s="108"/>
      <c r="E56" s="108"/>
      <c r="F56" s="108"/>
      <c r="G56" s="108"/>
      <c r="H56" s="108"/>
      <c r="I56" s="108"/>
      <c r="J56" s="117"/>
      <c r="K56" s="108"/>
      <c r="L56" s="108"/>
      <c r="M56" s="108"/>
      <c r="N56" s="108"/>
    </row>
    <row r="57" customFormat="false" ht="11.25" hidden="false" customHeight="false" outlineLevel="0" collapsed="false">
      <c r="A57" s="123"/>
      <c r="B57" s="108"/>
      <c r="C57" s="108"/>
      <c r="D57" s="108"/>
      <c r="E57" s="108"/>
      <c r="F57" s="108"/>
      <c r="G57" s="108"/>
      <c r="H57" s="108"/>
      <c r="I57" s="108"/>
      <c r="J57" s="117"/>
      <c r="K57" s="108"/>
      <c r="L57" s="108"/>
      <c r="M57" s="108"/>
      <c r="N57" s="108"/>
    </row>
    <row r="58" customFormat="false" ht="11.25" hidden="false" customHeight="false" outlineLevel="0" collapsed="false">
      <c r="A58" s="123"/>
      <c r="B58" s="108"/>
      <c r="C58" s="108"/>
      <c r="D58" s="108"/>
      <c r="E58" s="108"/>
      <c r="F58" s="108"/>
      <c r="G58" s="108"/>
      <c r="H58" s="108"/>
      <c r="I58" s="108"/>
      <c r="J58" s="117"/>
      <c r="K58" s="108"/>
      <c r="L58" s="108"/>
      <c r="M58" s="108"/>
      <c r="N58" s="108"/>
    </row>
    <row r="59" customFormat="false" ht="11.25" hidden="false" customHeight="false" outlineLevel="0" collapsed="false">
      <c r="A59" s="185"/>
      <c r="B59" s="108"/>
      <c r="C59" s="108"/>
      <c r="D59" s="108"/>
      <c r="E59" s="108"/>
      <c r="F59" s="108"/>
      <c r="G59" s="108"/>
      <c r="H59" s="108"/>
      <c r="I59" s="108"/>
      <c r="J59" s="117"/>
      <c r="K59" s="108"/>
      <c r="L59" s="108"/>
      <c r="M59" s="108"/>
      <c r="N59" s="108"/>
    </row>
    <row r="60" customFormat="false" ht="11.25" hidden="false" customHeight="false" outlineLevel="0" collapsed="false">
      <c r="A60" s="185"/>
      <c r="B60" s="108"/>
      <c r="C60" s="108"/>
      <c r="D60" s="108"/>
      <c r="E60" s="108"/>
      <c r="F60" s="108"/>
      <c r="G60" s="108"/>
      <c r="H60" s="108"/>
      <c r="I60" s="108"/>
      <c r="J60" s="117"/>
      <c r="K60" s="108"/>
      <c r="L60" s="108"/>
      <c r="M60" s="108"/>
      <c r="N60" s="108"/>
    </row>
    <row r="61" customFormat="false" ht="11.25" hidden="false" customHeight="false" outlineLevel="0" collapsed="false">
      <c r="A61" s="185"/>
      <c r="B61" s="108"/>
      <c r="C61" s="108"/>
      <c r="D61" s="108"/>
      <c r="E61" s="108"/>
      <c r="F61" s="108"/>
      <c r="G61" s="108"/>
      <c r="H61" s="108"/>
      <c r="I61" s="108"/>
      <c r="J61" s="117"/>
      <c r="K61" s="108"/>
      <c r="L61" s="108"/>
      <c r="M61" s="108"/>
      <c r="N61" s="108"/>
    </row>
    <row r="62" customFormat="false" ht="11.25" hidden="false" customHeight="false" outlineLevel="0" collapsed="false">
      <c r="A62" s="185"/>
      <c r="B62" s="108"/>
      <c r="C62" s="108"/>
      <c r="D62" s="108"/>
      <c r="E62" s="108"/>
      <c r="F62" s="108"/>
      <c r="G62" s="108"/>
      <c r="H62" s="108"/>
      <c r="I62" s="108"/>
      <c r="J62" s="117"/>
      <c r="K62" s="108"/>
      <c r="L62" s="108"/>
      <c r="M62" s="108"/>
      <c r="N62" s="108"/>
    </row>
    <row r="63" customFormat="false" ht="11.25" hidden="false" customHeight="false" outlineLevel="0" collapsed="false">
      <c r="A63" s="185"/>
      <c r="B63" s="108"/>
      <c r="C63" s="108"/>
      <c r="D63" s="108"/>
      <c r="E63" s="108"/>
      <c r="F63" s="108"/>
      <c r="G63" s="108"/>
      <c r="H63" s="108"/>
      <c r="I63" s="108"/>
      <c r="J63" s="117"/>
      <c r="K63" s="108"/>
      <c r="L63" s="108"/>
      <c r="M63" s="108"/>
      <c r="N63" s="108"/>
    </row>
    <row r="64" customFormat="false" ht="11.25" hidden="false" customHeight="false" outlineLevel="0" collapsed="false">
      <c r="A64" s="185"/>
      <c r="B64" s="108"/>
      <c r="C64" s="108"/>
      <c r="D64" s="186"/>
      <c r="E64" s="108"/>
      <c r="F64" s="108"/>
      <c r="G64" s="108"/>
      <c r="H64" s="108"/>
      <c r="I64" s="108"/>
      <c r="J64" s="117"/>
      <c r="K64" s="108"/>
      <c r="L64" s="108"/>
      <c r="M64" s="108"/>
      <c r="N64" s="108"/>
      <c r="O64" s="63"/>
    </row>
    <row r="65" customFormat="false" ht="11.25" hidden="false" customHeight="false" outlineLevel="0" collapsed="false">
      <c r="A65" s="123"/>
      <c r="B65" s="108"/>
      <c r="C65" s="108"/>
      <c r="D65" s="186"/>
      <c r="E65" s="108"/>
      <c r="F65" s="108"/>
      <c r="G65" s="108"/>
      <c r="H65" s="108"/>
      <c r="I65" s="108"/>
      <c r="J65" s="117"/>
      <c r="K65" s="108"/>
      <c r="L65" s="108"/>
      <c r="M65" s="108"/>
      <c r="N65" s="108"/>
    </row>
    <row r="66" customFormat="false" ht="11.25" hidden="false" customHeight="false" outlineLevel="0" collapsed="false">
      <c r="A66" s="123"/>
      <c r="B66" s="108"/>
      <c r="C66" s="108"/>
      <c r="D66" s="108"/>
      <c r="E66" s="108"/>
      <c r="F66" s="108"/>
      <c r="G66" s="108"/>
      <c r="H66" s="108"/>
      <c r="I66" s="108"/>
      <c r="J66" s="117"/>
      <c r="K66" s="108"/>
      <c r="L66" s="108"/>
      <c r="M66" s="108"/>
      <c r="N66" s="108"/>
    </row>
    <row r="67" customFormat="false" ht="11.25" hidden="false" customHeight="false" outlineLevel="0" collapsed="false">
      <c r="A67" s="123"/>
      <c r="B67" s="108"/>
      <c r="C67" s="108"/>
      <c r="D67" s="108"/>
      <c r="E67" s="108"/>
      <c r="F67" s="108"/>
      <c r="G67" s="108"/>
      <c r="H67" s="108"/>
      <c r="I67" s="108"/>
      <c r="J67" s="117"/>
      <c r="K67" s="108"/>
      <c r="L67" s="108"/>
      <c r="M67" s="108"/>
      <c r="N67" s="108"/>
    </row>
    <row r="68" customFormat="false" ht="11.25" hidden="false" customHeight="false" outlineLevel="0" collapsed="false">
      <c r="A68" s="123"/>
      <c r="B68" s="108"/>
      <c r="C68" s="108"/>
      <c r="D68" s="108"/>
      <c r="E68" s="108"/>
      <c r="F68" s="108"/>
      <c r="G68" s="108"/>
      <c r="H68" s="108"/>
      <c r="I68" s="108"/>
      <c r="J68" s="117"/>
      <c r="K68" s="108"/>
      <c r="L68" s="108"/>
      <c r="M68" s="108"/>
      <c r="N68" s="108"/>
    </row>
    <row r="69" customFormat="false" ht="11.25" hidden="false" customHeight="false" outlineLevel="0" collapsed="false">
      <c r="A69" s="123"/>
      <c r="B69" s="108"/>
      <c r="C69" s="108"/>
      <c r="D69" s="108"/>
      <c r="E69" s="108"/>
      <c r="F69" s="108"/>
      <c r="G69" s="108"/>
      <c r="H69" s="108"/>
      <c r="I69" s="108"/>
      <c r="J69" s="117"/>
      <c r="K69" s="108"/>
      <c r="L69" s="108"/>
      <c r="M69" s="108"/>
      <c r="N69" s="108"/>
    </row>
    <row r="70" customFormat="false" ht="11.25" hidden="false" customHeight="false" outlineLevel="0" collapsed="false">
      <c r="A70" s="123"/>
      <c r="B70" s="108"/>
      <c r="C70" s="108"/>
      <c r="D70" s="108"/>
      <c r="E70" s="108"/>
      <c r="F70" s="108"/>
      <c r="G70" s="108"/>
      <c r="H70" s="108"/>
      <c r="J70" s="117"/>
      <c r="K70" s="108"/>
      <c r="L70" s="108"/>
      <c r="M70" s="108"/>
      <c r="N70" s="108"/>
    </row>
    <row r="71" customFormat="false" ht="11.25" hidden="false" customHeight="false" outlineLevel="0" collapsed="false">
      <c r="A71" s="123"/>
      <c r="B71" s="108"/>
      <c r="C71" s="108"/>
      <c r="D71" s="108"/>
      <c r="E71" s="108"/>
      <c r="F71" s="108"/>
      <c r="G71" s="108"/>
      <c r="H71" s="108"/>
      <c r="J71" s="117"/>
      <c r="K71" s="108"/>
      <c r="L71" s="108"/>
      <c r="M71" s="108"/>
      <c r="N71" s="108"/>
    </row>
    <row r="72" customFormat="false" ht="11.25" hidden="false" customHeight="false" outlineLevel="0" collapsed="false">
      <c r="A72" s="123"/>
      <c r="B72" s="108"/>
      <c r="C72" s="108"/>
      <c r="D72" s="108"/>
      <c r="E72" s="108"/>
      <c r="F72" s="108"/>
      <c r="G72" s="108"/>
      <c r="H72" s="108"/>
      <c r="J72" s="117"/>
      <c r="K72" s="108"/>
      <c r="L72" s="108"/>
      <c r="M72" s="108"/>
      <c r="N72" s="108"/>
    </row>
    <row r="73" customFormat="false" ht="11.25" hidden="false" customHeight="false" outlineLevel="0" collapsed="false">
      <c r="A73" s="123"/>
      <c r="B73" s="108"/>
      <c r="C73" s="108"/>
      <c r="D73" s="108"/>
      <c r="E73" s="108"/>
      <c r="F73" s="108"/>
      <c r="G73" s="108"/>
      <c r="H73" s="108"/>
      <c r="J73" s="117"/>
      <c r="K73" s="108"/>
      <c r="L73" s="108"/>
      <c r="M73" s="108"/>
      <c r="N73" s="108"/>
    </row>
    <row r="74" customFormat="false" ht="11.25" hidden="false" customHeight="false" outlineLevel="0" collapsed="false">
      <c r="A74" s="123"/>
      <c r="B74" s="108"/>
      <c r="C74" s="108"/>
      <c r="D74" s="108"/>
      <c r="E74" s="108"/>
      <c r="F74" s="108"/>
      <c r="G74" s="108"/>
      <c r="H74" s="108"/>
      <c r="J74" s="117"/>
      <c r="K74" s="108"/>
      <c r="L74" s="108"/>
      <c r="M74" s="108"/>
      <c r="N74" s="108"/>
    </row>
    <row r="75" customFormat="false" ht="11.25" hidden="false" customHeight="false" outlineLevel="0" collapsed="false">
      <c r="A75" s="123"/>
      <c r="B75" s="108"/>
      <c r="C75" s="108"/>
      <c r="D75" s="108"/>
      <c r="E75" s="108"/>
      <c r="F75" s="108"/>
      <c r="G75" s="108"/>
      <c r="H75" s="108"/>
      <c r="J75" s="117"/>
      <c r="K75" s="108"/>
      <c r="L75" s="108"/>
      <c r="M75" s="108"/>
      <c r="N75" s="108"/>
    </row>
    <row r="76" customFormat="false" ht="11.25" hidden="false" customHeight="false" outlineLevel="0" collapsed="false">
      <c r="A76" s="123"/>
      <c r="B76" s="108"/>
      <c r="C76" s="108"/>
      <c r="D76" s="108"/>
      <c r="E76" s="108"/>
      <c r="F76" s="108"/>
      <c r="G76" s="108"/>
      <c r="H76" s="108"/>
      <c r="I76" s="108"/>
      <c r="J76" s="117"/>
      <c r="K76" s="108"/>
      <c r="L76" s="108"/>
      <c r="M76" s="108"/>
      <c r="N76" s="108"/>
    </row>
    <row r="77" customFormat="false" ht="11.25" hidden="false" customHeight="false" outlineLevel="0" collapsed="false">
      <c r="A77" s="123"/>
      <c r="B77" s="108"/>
      <c r="C77" s="108"/>
      <c r="D77" s="108"/>
      <c r="E77" s="108"/>
      <c r="F77" s="108"/>
      <c r="G77" s="108"/>
      <c r="H77" s="108"/>
      <c r="I77" s="108"/>
      <c r="J77" s="117"/>
      <c r="K77" s="108"/>
      <c r="L77" s="108"/>
      <c r="M77" s="108"/>
      <c r="N77" s="108"/>
    </row>
    <row r="78" customFormat="false" ht="11.25" hidden="false" customHeight="false" outlineLevel="0" collapsed="false">
      <c r="A78" s="123"/>
      <c r="B78" s="108"/>
      <c r="C78" s="108"/>
      <c r="D78" s="108"/>
      <c r="E78" s="108"/>
      <c r="F78" s="108"/>
      <c r="G78" s="108"/>
      <c r="H78" s="108"/>
      <c r="I78" s="108"/>
      <c r="J78" s="117"/>
      <c r="K78" s="108"/>
      <c r="L78" s="108"/>
      <c r="M78" s="108"/>
      <c r="N78" s="108"/>
    </row>
    <row r="79" customFormat="false" ht="11.25" hidden="false" customHeight="false" outlineLevel="0" collapsed="false">
      <c r="A79" s="123"/>
      <c r="B79" s="108"/>
      <c r="C79" s="108"/>
      <c r="D79" s="108"/>
      <c r="E79" s="108"/>
      <c r="F79" s="108"/>
      <c r="G79" s="108"/>
      <c r="H79" s="108"/>
      <c r="I79" s="108"/>
      <c r="J79" s="117"/>
      <c r="K79" s="108"/>
      <c r="L79" s="108"/>
      <c r="M79" s="108"/>
      <c r="N79" s="108"/>
    </row>
    <row r="80" customFormat="false" ht="11.25" hidden="false" customHeight="false" outlineLevel="0" collapsed="false">
      <c r="A80" s="123"/>
      <c r="B80" s="108"/>
      <c r="C80" s="108"/>
      <c r="D80" s="108"/>
      <c r="E80" s="108"/>
      <c r="F80" s="108"/>
      <c r="G80" s="108"/>
      <c r="H80" s="108"/>
      <c r="I80" s="108"/>
      <c r="J80" s="117"/>
      <c r="K80" s="108"/>
      <c r="L80" s="108"/>
      <c r="M80" s="108"/>
      <c r="N80" s="108"/>
    </row>
    <row r="81" customFormat="false" ht="11.25" hidden="false" customHeight="false" outlineLevel="0" collapsed="false">
      <c r="A81" s="123"/>
      <c r="B81" s="108"/>
      <c r="C81" s="108"/>
      <c r="D81" s="108"/>
      <c r="E81" s="108"/>
      <c r="F81" s="108"/>
      <c r="G81" s="108"/>
      <c r="H81" s="108"/>
      <c r="I81" s="108"/>
      <c r="J81" s="117"/>
      <c r="K81" s="108"/>
      <c r="L81" s="108"/>
      <c r="M81" s="108"/>
      <c r="N81" s="108"/>
    </row>
    <row r="82" customFormat="false" ht="11.25" hidden="false" customHeight="false" outlineLevel="0" collapsed="false">
      <c r="A82" s="123"/>
      <c r="B82" s="108"/>
      <c r="C82" s="108"/>
      <c r="D82" s="108"/>
      <c r="E82" s="108"/>
      <c r="F82" s="108"/>
      <c r="G82" s="108"/>
      <c r="H82" s="108"/>
      <c r="I82" s="108"/>
      <c r="J82" s="117"/>
      <c r="K82" s="108"/>
      <c r="L82" s="108"/>
      <c r="M82" s="108"/>
      <c r="N82" s="120"/>
    </row>
    <row r="83" customFormat="false" ht="11.25" hidden="false" customHeight="false" outlineLevel="0" collapsed="false">
      <c r="A83" s="123"/>
      <c r="B83" s="108"/>
      <c r="C83" s="108"/>
      <c r="D83" s="108"/>
      <c r="E83" s="108"/>
      <c r="F83" s="108"/>
      <c r="G83" s="108"/>
      <c r="H83" s="108"/>
      <c r="I83" s="108"/>
      <c r="J83" s="117"/>
      <c r="K83" s="79"/>
      <c r="L83" s="79"/>
      <c r="M83" s="79"/>
      <c r="N83" s="150"/>
    </row>
    <row r="84" customFormat="false" ht="11.25" hidden="false" customHeight="false" outlineLevel="0" collapsed="false">
      <c r="A84" s="123"/>
      <c r="B84" s="108"/>
      <c r="C84" s="108"/>
      <c r="D84" s="108"/>
      <c r="E84" s="108"/>
      <c r="F84" s="108"/>
      <c r="G84" s="108"/>
      <c r="H84" s="108"/>
      <c r="I84" s="108"/>
      <c r="J84" s="117"/>
      <c r="K84" s="151"/>
      <c r="L84" s="16"/>
      <c r="M84" s="151"/>
      <c r="N84" s="150"/>
    </row>
    <row r="85" customFormat="false" ht="11.25" hidden="false" customHeight="false" outlineLevel="0" collapsed="false">
      <c r="A85" s="123"/>
      <c r="B85" s="108"/>
      <c r="C85" s="108"/>
      <c r="D85" s="108"/>
      <c r="E85" s="108"/>
      <c r="F85" s="108"/>
      <c r="G85" s="108"/>
      <c r="H85" s="108"/>
      <c r="I85" s="108"/>
      <c r="J85" s="117"/>
      <c r="K85" s="16"/>
      <c r="L85" s="16"/>
      <c r="M85" s="16"/>
      <c r="N85" s="108"/>
    </row>
    <row r="86" customFormat="false" ht="11.25" hidden="false" customHeight="false" outlineLevel="0" collapsed="false">
      <c r="A86" s="123"/>
      <c r="B86" s="108"/>
      <c r="C86" s="108"/>
      <c r="D86" s="108"/>
      <c r="E86" s="108"/>
      <c r="F86" s="108"/>
      <c r="G86" s="108"/>
      <c r="H86" s="108"/>
      <c r="I86" s="108"/>
      <c r="J86" s="117"/>
      <c r="K86" s="153"/>
      <c r="L86" s="153"/>
      <c r="M86" s="153"/>
      <c r="N86" s="184"/>
    </row>
    <row r="87" customFormat="false" ht="11.25" hidden="false" customHeight="false" outlineLevel="0" collapsed="false">
      <c r="A87" s="123"/>
      <c r="B87" s="108"/>
      <c r="C87" s="108"/>
      <c r="D87" s="108"/>
      <c r="E87" s="108"/>
      <c r="F87" s="108"/>
      <c r="G87" s="108"/>
      <c r="H87" s="108"/>
      <c r="I87" s="108"/>
      <c r="J87" s="117"/>
      <c r="K87" s="153"/>
      <c r="L87" s="153"/>
      <c r="M87" s="153"/>
      <c r="N87" s="184"/>
    </row>
    <row r="88" customFormat="false" ht="11.25" hidden="false" customHeight="false" outlineLevel="0" collapsed="false">
      <c r="A88" s="123"/>
      <c r="B88" s="108"/>
      <c r="C88" s="108"/>
      <c r="D88" s="108"/>
      <c r="E88" s="108"/>
      <c r="F88" s="108"/>
      <c r="G88" s="108"/>
      <c r="H88" s="108"/>
      <c r="J88" s="117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  <c r="G89" s="108"/>
      <c r="H89" s="108"/>
      <c r="J89" s="103"/>
      <c r="L89" s="19"/>
    </row>
    <row r="90" customFormat="false" ht="11.25" hidden="false" customHeight="false" outlineLevel="0" collapsed="false">
      <c r="A90" s="149"/>
      <c r="C90" s="30"/>
      <c r="D90" s="30"/>
      <c r="E90" s="30"/>
      <c r="F90" s="30"/>
      <c r="G90" s="30"/>
      <c r="H90" s="63"/>
      <c r="J90" s="144"/>
      <c r="K90" s="100"/>
      <c r="L90" s="144"/>
      <c r="M90" s="100"/>
    </row>
    <row r="91" customFormat="false" ht="11.25" hidden="false" customHeight="false" outlineLevel="0" collapsed="false">
      <c r="C91" s="79"/>
      <c r="D91" s="79"/>
      <c r="E91" s="79"/>
      <c r="F91" s="79"/>
      <c r="G91" s="79"/>
      <c r="H91" s="150"/>
      <c r="I91" s="145"/>
      <c r="J91" s="101"/>
      <c r="K91" s="101"/>
      <c r="L91" s="101"/>
      <c r="M91" s="101"/>
    </row>
    <row r="92" customFormat="false" ht="11.25" hidden="false" customHeight="false" outlineLevel="0" collapsed="false">
      <c r="I92" s="108"/>
      <c r="J92" s="108"/>
      <c r="K92" s="108"/>
      <c r="L92" s="108"/>
      <c r="M92" s="108"/>
      <c r="N92" s="108"/>
    </row>
    <row r="93" customFormat="false" ht="11.25" hidden="false" customHeight="false" outlineLevel="0" collapsed="false">
      <c r="G93" s="146"/>
      <c r="H93" s="108"/>
      <c r="I93" s="108"/>
      <c r="J93" s="108"/>
      <c r="K93" s="108"/>
      <c r="L93" s="108"/>
      <c r="M93" s="108"/>
      <c r="N93" s="108"/>
    </row>
    <row r="94" customFormat="false" ht="11.25" hidden="false" customHeight="false" outlineLevel="0" collapsed="false">
      <c r="G94" s="146"/>
      <c r="H94" s="108"/>
      <c r="I94" s="108"/>
      <c r="J94" s="108"/>
      <c r="K94" s="108"/>
      <c r="L94" s="108"/>
      <c r="M94" s="108"/>
      <c r="N94" s="108"/>
    </row>
    <row r="95" customFormat="false" ht="11.25" hidden="false" customHeight="false" outlineLevel="0" collapsed="false">
      <c r="G95" s="146"/>
      <c r="H95" s="108"/>
      <c r="I95" s="108"/>
      <c r="J95" s="108"/>
      <c r="K95" s="108"/>
      <c r="L95" s="108"/>
      <c r="M95" s="108"/>
      <c r="N95" s="108"/>
    </row>
    <row r="96" customFormat="false" ht="11.25" hidden="false" customHeight="false" outlineLevel="0" collapsed="false">
      <c r="G96" s="146"/>
      <c r="H96" s="108"/>
      <c r="I96" s="108"/>
      <c r="J96" s="108"/>
      <c r="K96" s="108"/>
      <c r="L96" s="108"/>
      <c r="M96" s="108"/>
      <c r="N96" s="108"/>
    </row>
    <row r="97" customFormat="false" ht="11.25" hidden="false" customHeight="false" outlineLevel="0" collapsed="false">
      <c r="G97" s="146"/>
      <c r="H97" s="108"/>
      <c r="I97" s="108"/>
      <c r="J97" s="108"/>
      <c r="K97" s="108"/>
      <c r="L97" s="108"/>
      <c r="M97" s="108"/>
      <c r="N97" s="108"/>
    </row>
    <row r="98" customFormat="false" ht="11.25" hidden="false" customHeight="false" outlineLevel="0" collapsed="false">
      <c r="G98" s="146"/>
      <c r="H98" s="108"/>
      <c r="I98" s="108"/>
      <c r="J98" s="108"/>
      <c r="K98" s="108"/>
      <c r="L98" s="108"/>
      <c r="M98" s="108"/>
      <c r="N98" s="108"/>
    </row>
    <row r="99" customFormat="false" ht="11.25" hidden="false" customHeight="false" outlineLevel="0" collapsed="false">
      <c r="G99" s="146"/>
      <c r="H99" s="108"/>
      <c r="I99" s="108"/>
      <c r="J99" s="108"/>
      <c r="K99" s="108"/>
      <c r="L99" s="108"/>
      <c r="M99" s="108"/>
      <c r="N99" s="108"/>
    </row>
    <row r="100" customFormat="false" ht="11.25" hidden="false" customHeight="false" outlineLevel="0" collapsed="false">
      <c r="G100" s="146"/>
      <c r="H100" s="108"/>
      <c r="I100" s="108"/>
      <c r="J100" s="108"/>
      <c r="K100" s="108"/>
      <c r="L100" s="108"/>
      <c r="M100" s="108"/>
      <c r="N100" s="108"/>
    </row>
    <row r="101" customFormat="false" ht="11.25" hidden="false" customHeight="false" outlineLevel="0" collapsed="false">
      <c r="G101" s="146"/>
      <c r="H101" s="108"/>
      <c r="I101" s="108"/>
      <c r="J101" s="108"/>
      <c r="K101" s="108"/>
      <c r="L101" s="108"/>
      <c r="M101" s="108"/>
      <c r="N101" s="108"/>
    </row>
    <row r="102" customFormat="false" ht="11.25" hidden="false" customHeight="false" outlineLevel="0" collapsed="false">
      <c r="G102" s="146"/>
      <c r="H102" s="108"/>
      <c r="I102" s="108"/>
      <c r="J102" s="108"/>
      <c r="K102" s="108"/>
      <c r="L102" s="108"/>
      <c r="M102" s="108"/>
      <c r="N102" s="108"/>
    </row>
    <row r="103" customFormat="false" ht="11.25" hidden="false" customHeight="false" outlineLevel="0" collapsed="false">
      <c r="G103" s="146"/>
      <c r="H103" s="108"/>
      <c r="I103" s="108"/>
      <c r="J103" s="108"/>
      <c r="K103" s="108"/>
      <c r="L103" s="108"/>
      <c r="M103" s="108"/>
      <c r="N103" s="108"/>
    </row>
    <row r="104" customFormat="false" ht="11.25" hidden="false" customHeight="false" outlineLevel="0" collapsed="false">
      <c r="G104" s="146"/>
      <c r="H104" s="108"/>
      <c r="I104" s="108"/>
      <c r="J104" s="108"/>
      <c r="K104" s="108"/>
      <c r="L104" s="108"/>
      <c r="M104" s="108"/>
      <c r="N104" s="108"/>
    </row>
    <row r="105" customFormat="false" ht="11.25" hidden="false" customHeight="false" outlineLevel="0" collapsed="false">
      <c r="G105" s="146"/>
      <c r="H105" s="108"/>
      <c r="I105" s="108"/>
      <c r="J105" s="108"/>
      <c r="K105" s="108"/>
      <c r="L105" s="108"/>
      <c r="M105" s="108"/>
      <c r="N105" s="108"/>
    </row>
    <row r="106" customFormat="false" ht="11.25" hidden="false" customHeight="false" outlineLevel="0" collapsed="false">
      <c r="G106" s="146"/>
      <c r="H106" s="108"/>
      <c r="I106" s="108"/>
      <c r="J106" s="108"/>
      <c r="K106" s="108"/>
      <c r="L106" s="108"/>
      <c r="M106" s="108"/>
      <c r="N106" s="108"/>
    </row>
    <row r="107" customFormat="false" ht="11.25" hidden="false" customHeight="false" outlineLevel="0" collapsed="false">
      <c r="G107" s="146"/>
      <c r="H107" s="108"/>
      <c r="I107" s="108"/>
      <c r="J107" s="108"/>
      <c r="K107" s="108"/>
      <c r="L107" s="108"/>
      <c r="M107" s="108"/>
      <c r="N107" s="108"/>
    </row>
    <row r="108" customFormat="false" ht="11.25" hidden="false" customHeight="false" outlineLevel="0" collapsed="false">
      <c r="G108" s="146"/>
      <c r="H108" s="108"/>
      <c r="I108" s="108"/>
      <c r="J108" s="108"/>
      <c r="K108" s="108"/>
      <c r="L108" s="108"/>
      <c r="M108" s="108"/>
      <c r="N108" s="108"/>
    </row>
    <row r="109" customFormat="false" ht="11.25" hidden="false" customHeight="false" outlineLevel="0" collapsed="false">
      <c r="G109" s="146"/>
      <c r="H109" s="108"/>
      <c r="I109" s="108"/>
      <c r="J109" s="108"/>
      <c r="K109" s="108"/>
      <c r="L109" s="108"/>
      <c r="M109" s="108"/>
      <c r="N109" s="108"/>
    </row>
    <row r="110" customFormat="false" ht="11.25" hidden="false" customHeight="false" outlineLevel="0" collapsed="false">
      <c r="G110" s="146"/>
      <c r="H110" s="108"/>
      <c r="I110" s="108"/>
      <c r="J110" s="108"/>
      <c r="K110" s="108"/>
      <c r="L110" s="108"/>
      <c r="M110" s="108"/>
      <c r="N110" s="108"/>
    </row>
    <row r="111" customFormat="false" ht="11.25" hidden="false" customHeight="false" outlineLevel="0" collapsed="false">
      <c r="G111" s="146"/>
      <c r="H111" s="108"/>
      <c r="I111" s="108"/>
      <c r="J111" s="108"/>
      <c r="K111" s="108"/>
      <c r="L111" s="108"/>
      <c r="M111" s="108"/>
      <c r="N111" s="108"/>
    </row>
    <row r="112" customFormat="false" ht="11.25" hidden="false" customHeight="false" outlineLevel="0" collapsed="false">
      <c r="G112" s="146"/>
      <c r="H112" s="108"/>
      <c r="I112" s="108"/>
      <c r="J112" s="108"/>
      <c r="K112" s="108"/>
      <c r="L112" s="108"/>
      <c r="M112" s="108"/>
      <c r="N112" s="108"/>
    </row>
    <row r="113" customFormat="false" ht="11.25" hidden="false" customHeight="false" outlineLevel="0" collapsed="false">
      <c r="G113" s="146"/>
      <c r="H113" s="108"/>
      <c r="I113" s="108"/>
      <c r="J113" s="108"/>
      <c r="K113" s="108"/>
      <c r="L113" s="108"/>
      <c r="M113" s="108"/>
      <c r="N113" s="108"/>
    </row>
    <row r="114" customFormat="false" ht="11.25" hidden="false" customHeight="false" outlineLevel="0" collapsed="false">
      <c r="G114" s="146"/>
      <c r="H114" s="108"/>
      <c r="I114" s="108"/>
      <c r="J114" s="108"/>
      <c r="K114" s="108"/>
      <c r="L114" s="108"/>
      <c r="M114" s="108"/>
      <c r="N114" s="108"/>
    </row>
    <row r="115" customFormat="false" ht="11.25" hidden="false" customHeight="false" outlineLevel="0" collapsed="false">
      <c r="G115" s="146"/>
      <c r="H115" s="108"/>
      <c r="I115" s="108"/>
      <c r="J115" s="108"/>
      <c r="K115" s="108"/>
      <c r="L115" s="108"/>
      <c r="M115" s="108"/>
      <c r="N115" s="108"/>
    </row>
    <row r="116" customFormat="false" ht="11.25" hidden="false" customHeight="false" outlineLevel="0" collapsed="false">
      <c r="G116" s="146"/>
      <c r="H116" s="108"/>
      <c r="I116" s="108"/>
      <c r="J116" s="108"/>
      <c r="K116" s="108"/>
      <c r="L116" s="108"/>
      <c r="M116" s="108"/>
      <c r="N116" s="108"/>
    </row>
    <row r="117" customFormat="false" ht="11.25" hidden="false" customHeight="false" outlineLevel="0" collapsed="false">
      <c r="G117" s="146"/>
      <c r="H117" s="108"/>
      <c r="I117" s="108"/>
      <c r="J117" s="108"/>
      <c r="K117" s="108"/>
      <c r="L117" s="108"/>
      <c r="M117" s="108"/>
      <c r="N117" s="108"/>
    </row>
    <row r="118" customFormat="false" ht="11.25" hidden="false" customHeight="false" outlineLevel="0" collapsed="false">
      <c r="G118" s="146"/>
      <c r="H118" s="108"/>
      <c r="I118" s="108"/>
      <c r="J118" s="108"/>
      <c r="K118" s="108"/>
      <c r="L118" s="108"/>
      <c r="M118" s="108"/>
      <c r="N118" s="108"/>
    </row>
    <row r="119" customFormat="false" ht="11.25" hidden="false" customHeight="false" outlineLevel="0" collapsed="false">
      <c r="G119" s="146"/>
      <c r="H119" s="108"/>
      <c r="I119" s="108"/>
      <c r="J119" s="108"/>
      <c r="K119" s="108"/>
      <c r="L119" s="108"/>
      <c r="M119" s="108"/>
      <c r="N119" s="108"/>
    </row>
    <row r="120" customFormat="false" ht="11.25" hidden="false" customHeight="false" outlineLevel="0" collapsed="false">
      <c r="G120" s="146"/>
      <c r="H120" s="108"/>
      <c r="I120" s="108"/>
      <c r="J120" s="108"/>
      <c r="K120" s="108"/>
      <c r="L120" s="108"/>
      <c r="M120" s="108"/>
      <c r="N120" s="108"/>
    </row>
    <row r="121" customFormat="false" ht="11.25" hidden="false" customHeight="false" outlineLevel="0" collapsed="false">
      <c r="G121" s="146"/>
      <c r="H121" s="108"/>
      <c r="I121" s="108"/>
      <c r="J121" s="108"/>
      <c r="K121" s="108"/>
      <c r="L121" s="108"/>
      <c r="M121" s="108"/>
      <c r="N121" s="108"/>
    </row>
    <row r="122" customFormat="false" ht="11.25" hidden="false" customHeight="false" outlineLevel="0" collapsed="false">
      <c r="G122" s="146"/>
      <c r="H122" s="108"/>
      <c r="I122" s="108"/>
      <c r="J122" s="108"/>
      <c r="K122" s="108"/>
      <c r="L122" s="108"/>
      <c r="M122" s="108"/>
      <c r="N122" s="108"/>
    </row>
    <row r="123" customFormat="false" ht="11.25" hidden="false" customHeight="false" outlineLevel="0" collapsed="false">
      <c r="G123" s="149"/>
      <c r="I123" s="108"/>
      <c r="J123" s="108"/>
      <c r="K123" s="108"/>
      <c r="L123" s="108"/>
      <c r="M123" s="108"/>
      <c r="N123" s="120"/>
    </row>
    <row r="124" customFormat="false" ht="11.25" hidden="false" customHeight="false" outlineLevel="0" collapsed="false">
      <c r="J124" s="79"/>
      <c r="K124" s="79"/>
      <c r="L124" s="79"/>
      <c r="M124" s="79"/>
      <c r="N124" s="150"/>
    </row>
    <row r="125" customFormat="false" ht="11.25" hidden="false" customHeight="false" outlineLevel="0" collapsed="false">
      <c r="I125" s="108"/>
      <c r="J125" s="16"/>
      <c r="K125" s="151"/>
      <c r="L125" s="16"/>
      <c r="M125" s="151"/>
      <c r="N125" s="150"/>
    </row>
    <row r="126" customFormat="false" ht="11.25" hidden="false" customHeight="false" outlineLevel="0" collapsed="false">
      <c r="J126" s="16"/>
      <c r="K126" s="16"/>
      <c r="L126" s="16"/>
      <c r="M126" s="16"/>
      <c r="N126" s="108"/>
    </row>
    <row r="127" customFormat="false" ht="11.25" hidden="false" customHeight="false" outlineLevel="0" collapsed="false">
      <c r="G127" s="152"/>
      <c r="J127" s="153"/>
      <c r="K127" s="153"/>
      <c r="L127" s="153"/>
      <c r="M127" s="153"/>
      <c r="N127" s="184"/>
    </row>
    <row r="128" customFormat="false" ht="11.25" hidden="false" customHeight="false" outlineLevel="0" collapsed="false">
      <c r="G128" s="152"/>
      <c r="J128" s="153"/>
      <c r="K128" s="153"/>
      <c r="L128" s="153"/>
      <c r="M128" s="153"/>
      <c r="N128" s="187"/>
    </row>
    <row r="132" customFormat="false" ht="11.25" hidden="false" customHeight="false" outlineLevel="0" collapsed="false">
      <c r="G132" s="143"/>
      <c r="L132" s="19"/>
    </row>
    <row r="133" customFormat="false" ht="11.25" hidden="false" customHeight="false" outlineLevel="0" collapsed="false">
      <c r="G133" s="19"/>
      <c r="H133" s="19"/>
      <c r="J133" s="144"/>
      <c r="K133" s="100"/>
      <c r="L133" s="144"/>
      <c r="M133" s="100"/>
    </row>
    <row r="134" customFormat="false" ht="11.25" hidden="false" customHeight="false" outlineLevel="0" collapsed="false">
      <c r="G134" s="24"/>
      <c r="H134" s="101"/>
      <c r="I134" s="145"/>
      <c r="J134" s="101"/>
      <c r="K134" s="101"/>
      <c r="L134" s="101"/>
      <c r="M134" s="101"/>
    </row>
    <row r="135" customFormat="false" ht="11.25" hidden="false" customHeight="false" outlineLevel="0" collapsed="false">
      <c r="G135" s="146"/>
      <c r="H135" s="108"/>
      <c r="I135" s="108"/>
      <c r="J135" s="108"/>
      <c r="K135" s="108"/>
      <c r="L135" s="108"/>
      <c r="M135" s="108"/>
      <c r="N135" s="108"/>
    </row>
    <row r="136" customFormat="false" ht="11.25" hidden="false" customHeight="false" outlineLevel="0" collapsed="false">
      <c r="G136" s="146"/>
      <c r="H136" s="108"/>
      <c r="I136" s="108"/>
      <c r="J136" s="108"/>
      <c r="K136" s="108"/>
      <c r="L136" s="108"/>
      <c r="M136" s="108"/>
      <c r="N136" s="108"/>
    </row>
    <row r="137" customFormat="false" ht="11.25" hidden="false" customHeight="false" outlineLevel="0" collapsed="false">
      <c r="G137" s="146"/>
      <c r="H137" s="108"/>
      <c r="I137" s="108"/>
      <c r="J137" s="108"/>
      <c r="K137" s="108"/>
      <c r="L137" s="108"/>
      <c r="M137" s="108"/>
      <c r="N137" s="108"/>
    </row>
    <row r="138" customFormat="false" ht="11.25" hidden="false" customHeight="false" outlineLevel="0" collapsed="false">
      <c r="G138" s="146"/>
      <c r="H138" s="108"/>
      <c r="I138" s="108"/>
      <c r="J138" s="108"/>
      <c r="K138" s="108"/>
      <c r="L138" s="108"/>
      <c r="M138" s="108"/>
      <c r="N138" s="108"/>
    </row>
    <row r="139" customFormat="false" ht="11.25" hidden="false" customHeight="false" outlineLevel="0" collapsed="false">
      <c r="G139" s="146"/>
      <c r="H139" s="108"/>
      <c r="I139" s="108"/>
      <c r="J139" s="108"/>
      <c r="K139" s="108"/>
      <c r="L139" s="108"/>
      <c r="M139" s="108"/>
      <c r="N139" s="108"/>
    </row>
    <row r="140" customFormat="false" ht="11.25" hidden="false" customHeight="false" outlineLevel="0" collapsed="false">
      <c r="G140" s="146"/>
      <c r="H140" s="108"/>
      <c r="I140" s="108"/>
      <c r="J140" s="108"/>
      <c r="K140" s="108"/>
      <c r="L140" s="108"/>
      <c r="M140" s="108"/>
      <c r="N140" s="108"/>
    </row>
    <row r="141" customFormat="false" ht="11.25" hidden="false" customHeight="false" outlineLevel="0" collapsed="false">
      <c r="G141" s="146"/>
      <c r="H141" s="108"/>
      <c r="I141" s="108"/>
      <c r="J141" s="108"/>
      <c r="K141" s="108"/>
      <c r="L141" s="108"/>
      <c r="M141" s="108"/>
      <c r="N141" s="108"/>
    </row>
    <row r="142" customFormat="false" ht="11.25" hidden="false" customHeight="false" outlineLevel="0" collapsed="false">
      <c r="G142" s="146"/>
      <c r="H142" s="108"/>
      <c r="I142" s="108"/>
      <c r="J142" s="108"/>
      <c r="K142" s="108"/>
      <c r="L142" s="108"/>
      <c r="M142" s="108"/>
      <c r="N142" s="108"/>
    </row>
    <row r="143" customFormat="false" ht="11.25" hidden="false" customHeight="false" outlineLevel="0" collapsed="false">
      <c r="G143" s="146"/>
      <c r="H143" s="108"/>
      <c r="I143" s="108"/>
      <c r="J143" s="108"/>
      <c r="K143" s="108"/>
      <c r="L143" s="108"/>
      <c r="M143" s="108"/>
      <c r="N143" s="108"/>
    </row>
    <row r="144" customFormat="false" ht="11.25" hidden="false" customHeight="false" outlineLevel="0" collapsed="false">
      <c r="G144" s="146"/>
      <c r="H144" s="108"/>
      <c r="I144" s="108"/>
      <c r="J144" s="108"/>
      <c r="K144" s="108"/>
      <c r="L144" s="108"/>
      <c r="M144" s="108"/>
      <c r="N144" s="108"/>
    </row>
    <row r="145" customFormat="false" ht="11.25" hidden="false" customHeight="false" outlineLevel="0" collapsed="false">
      <c r="G145" s="146"/>
      <c r="H145" s="108"/>
      <c r="I145" s="108"/>
      <c r="J145" s="108"/>
      <c r="K145" s="108"/>
      <c r="L145" s="108"/>
      <c r="M145" s="108"/>
      <c r="N145" s="108"/>
    </row>
    <row r="146" customFormat="false" ht="11.25" hidden="false" customHeight="false" outlineLevel="0" collapsed="false">
      <c r="G146" s="146"/>
      <c r="H146" s="108"/>
      <c r="I146" s="108"/>
      <c r="J146" s="108"/>
      <c r="K146" s="108"/>
      <c r="L146" s="108"/>
      <c r="M146" s="108"/>
      <c r="N146" s="108"/>
    </row>
    <row r="147" customFormat="false" ht="11.25" hidden="false" customHeight="false" outlineLevel="0" collapsed="false">
      <c r="G147" s="146"/>
      <c r="H147" s="108"/>
      <c r="I147" s="108"/>
      <c r="J147" s="108"/>
      <c r="K147" s="108"/>
      <c r="L147" s="108"/>
      <c r="M147" s="108"/>
      <c r="N147" s="108"/>
    </row>
    <row r="148" customFormat="false" ht="11.25" hidden="false" customHeight="false" outlineLevel="0" collapsed="false">
      <c r="G148" s="146"/>
      <c r="H148" s="108"/>
      <c r="I148" s="108"/>
      <c r="J148" s="108"/>
      <c r="K148" s="108"/>
      <c r="L148" s="108"/>
      <c r="M148" s="108"/>
      <c r="N148" s="108"/>
    </row>
    <row r="149" customFormat="false" ht="11.25" hidden="false" customHeight="false" outlineLevel="0" collapsed="false">
      <c r="G149" s="146"/>
      <c r="H149" s="108"/>
      <c r="I149" s="108"/>
      <c r="J149" s="108"/>
      <c r="K149" s="108"/>
      <c r="L149" s="108"/>
      <c r="M149" s="108"/>
      <c r="N149" s="108"/>
    </row>
    <row r="150" customFormat="false" ht="11.25" hidden="false" customHeight="false" outlineLevel="0" collapsed="false">
      <c r="G150" s="146"/>
      <c r="H150" s="108"/>
      <c r="I150" s="108"/>
      <c r="J150" s="108"/>
      <c r="K150" s="108"/>
      <c r="L150" s="108"/>
      <c r="M150" s="108"/>
      <c r="N150" s="108"/>
    </row>
    <row r="151" customFormat="false" ht="11.25" hidden="false" customHeight="false" outlineLevel="0" collapsed="false">
      <c r="G151" s="146"/>
      <c r="H151" s="108"/>
      <c r="I151" s="108"/>
      <c r="J151" s="108"/>
      <c r="K151" s="108"/>
      <c r="L151" s="108"/>
      <c r="M151" s="108"/>
      <c r="N151" s="108"/>
    </row>
    <row r="152" customFormat="false" ht="11.25" hidden="false" customHeight="false" outlineLevel="0" collapsed="false">
      <c r="G152" s="146"/>
      <c r="H152" s="108"/>
      <c r="I152" s="108"/>
      <c r="J152" s="108"/>
      <c r="K152" s="108"/>
      <c r="L152" s="108"/>
      <c r="M152" s="108"/>
      <c r="N152" s="108"/>
    </row>
    <row r="153" customFormat="false" ht="11.25" hidden="false" customHeight="false" outlineLevel="0" collapsed="false">
      <c r="G153" s="146"/>
      <c r="H153" s="108"/>
      <c r="I153" s="108"/>
      <c r="J153" s="108"/>
      <c r="K153" s="108"/>
      <c r="L153" s="108"/>
      <c r="M153" s="108"/>
      <c r="N153" s="108"/>
    </row>
    <row r="154" customFormat="false" ht="11.25" hidden="false" customHeight="false" outlineLevel="0" collapsed="false">
      <c r="G154" s="146"/>
      <c r="H154" s="108"/>
      <c r="I154" s="108"/>
      <c r="J154" s="108"/>
      <c r="K154" s="108"/>
      <c r="L154" s="108"/>
      <c r="M154" s="108"/>
      <c r="N154" s="108"/>
    </row>
    <row r="155" customFormat="false" ht="11.25" hidden="false" customHeight="false" outlineLevel="0" collapsed="false">
      <c r="G155" s="146"/>
      <c r="H155" s="108"/>
      <c r="I155" s="108"/>
      <c r="J155" s="108"/>
      <c r="K155" s="108"/>
      <c r="L155" s="108"/>
      <c r="M155" s="108"/>
      <c r="N155" s="108"/>
    </row>
    <row r="156" customFormat="false" ht="11.25" hidden="false" customHeight="false" outlineLevel="0" collapsed="false">
      <c r="G156" s="146"/>
      <c r="H156" s="108"/>
      <c r="I156" s="108"/>
      <c r="J156" s="108"/>
      <c r="K156" s="108"/>
      <c r="L156" s="108"/>
      <c r="M156" s="108"/>
      <c r="N156" s="108"/>
    </row>
    <row r="157" customFormat="false" ht="11.25" hidden="false" customHeight="false" outlineLevel="0" collapsed="false">
      <c r="G157" s="146"/>
      <c r="H157" s="108"/>
      <c r="I157" s="108"/>
      <c r="J157" s="108"/>
      <c r="K157" s="108"/>
      <c r="L157" s="108"/>
      <c r="M157" s="108"/>
      <c r="N157" s="108"/>
    </row>
    <row r="158" customFormat="false" ht="11.25" hidden="false" customHeight="false" outlineLevel="0" collapsed="false">
      <c r="G158" s="146"/>
      <c r="H158" s="108"/>
      <c r="I158" s="108"/>
      <c r="J158" s="108"/>
      <c r="K158" s="108"/>
      <c r="L158" s="108"/>
      <c r="M158" s="108"/>
      <c r="N158" s="108"/>
    </row>
    <row r="159" customFormat="false" ht="11.25" hidden="false" customHeight="false" outlineLevel="0" collapsed="false">
      <c r="G159" s="146"/>
      <c r="H159" s="108"/>
      <c r="I159" s="108"/>
      <c r="J159" s="108"/>
      <c r="K159" s="108"/>
      <c r="L159" s="108"/>
      <c r="M159" s="108"/>
      <c r="N159" s="108"/>
    </row>
    <row r="160" customFormat="false" ht="11.25" hidden="false" customHeight="false" outlineLevel="0" collapsed="false">
      <c r="G160" s="146"/>
      <c r="H160" s="108"/>
      <c r="I160" s="108"/>
      <c r="J160" s="108"/>
      <c r="K160" s="108"/>
      <c r="L160" s="108"/>
      <c r="M160" s="108"/>
      <c r="N160" s="108"/>
    </row>
    <row r="161" customFormat="false" ht="11.25" hidden="false" customHeight="false" outlineLevel="0" collapsed="false">
      <c r="G161" s="146"/>
      <c r="H161" s="108"/>
      <c r="I161" s="108"/>
      <c r="J161" s="108"/>
      <c r="K161" s="108"/>
      <c r="L161" s="108"/>
      <c r="M161" s="108"/>
      <c r="N161" s="108"/>
    </row>
    <row r="162" customFormat="false" ht="11.25" hidden="false" customHeight="false" outlineLevel="0" collapsed="false">
      <c r="G162" s="146"/>
      <c r="H162" s="108"/>
      <c r="I162" s="108"/>
      <c r="J162" s="108"/>
      <c r="K162" s="108"/>
      <c r="L162" s="108"/>
      <c r="M162" s="108"/>
      <c r="N162" s="108"/>
    </row>
    <row r="163" customFormat="false" ht="11.25" hidden="false" customHeight="false" outlineLevel="0" collapsed="false">
      <c r="G163" s="146"/>
      <c r="H163" s="108"/>
      <c r="I163" s="108"/>
      <c r="J163" s="108"/>
      <c r="K163" s="108"/>
      <c r="L163" s="108"/>
      <c r="M163" s="108"/>
      <c r="N163" s="108"/>
    </row>
    <row r="164" customFormat="false" ht="11.25" hidden="false" customHeight="false" outlineLevel="0" collapsed="false">
      <c r="G164" s="146"/>
      <c r="H164" s="108"/>
      <c r="I164" s="108"/>
      <c r="J164" s="108"/>
      <c r="K164" s="108"/>
      <c r="L164" s="108"/>
      <c r="M164" s="108"/>
      <c r="N164" s="108"/>
    </row>
    <row r="165" customFormat="false" ht="11.25" hidden="false" customHeight="false" outlineLevel="0" collapsed="false">
      <c r="G165" s="146"/>
      <c r="H165" s="147"/>
      <c r="I165" s="147"/>
      <c r="J165" s="147"/>
      <c r="K165" s="147"/>
      <c r="L165" s="147"/>
      <c r="M165" s="147"/>
      <c r="N165" s="147"/>
    </row>
    <row r="166" customFormat="false" ht="11.25" hidden="false" customHeight="false" outlineLevel="0" collapsed="false">
      <c r="G166" s="146"/>
      <c r="H166" s="108"/>
      <c r="I166" s="148"/>
      <c r="J166" s="108"/>
      <c r="K166" s="148"/>
      <c r="L166" s="108"/>
      <c r="M166" s="108"/>
      <c r="N166" s="108"/>
    </row>
    <row r="167" customFormat="false" ht="11.25" hidden="false" customHeight="false" outlineLevel="0" collapsed="false">
      <c r="G167" s="149"/>
      <c r="I167" s="108"/>
      <c r="J167" s="108"/>
      <c r="K167" s="108"/>
      <c r="L167" s="108"/>
      <c r="M167" s="108"/>
      <c r="N167" s="120"/>
    </row>
    <row r="168" customFormat="false" ht="11.25" hidden="false" customHeight="false" outlineLevel="0" collapsed="false">
      <c r="J168" s="79"/>
      <c r="K168" s="79"/>
      <c r="L168" s="79"/>
      <c r="M168" s="79"/>
      <c r="N168" s="150"/>
    </row>
    <row r="169" customFormat="false" ht="11.25" hidden="false" customHeight="false" outlineLevel="0" collapsed="false">
      <c r="I169" s="108"/>
      <c r="J169" s="16"/>
      <c r="K169" s="151"/>
      <c r="L169" s="16"/>
      <c r="M169" s="151"/>
      <c r="N169" s="117"/>
    </row>
    <row r="170" customFormat="false" ht="11.25" hidden="false" customHeight="false" outlineLevel="0" collapsed="false">
      <c r="J170" s="16"/>
      <c r="K170" s="16"/>
      <c r="L170" s="16"/>
      <c r="M170" s="16"/>
      <c r="N170" s="108"/>
    </row>
    <row r="171" customFormat="false" ht="11.25" hidden="false" customHeight="false" outlineLevel="0" collapsed="false">
      <c r="J171" s="153"/>
      <c r="K171" s="153"/>
      <c r="L171" s="152"/>
      <c r="M171" s="153"/>
      <c r="N171" s="184"/>
    </row>
    <row r="172" customFormat="false" ht="11.25" hidden="false" customHeight="false" outlineLevel="0" collapsed="false">
      <c r="J172" s="153"/>
      <c r="K172" s="153"/>
      <c r="L172" s="152"/>
      <c r="M172" s="153"/>
      <c r="N172" s="187"/>
    </row>
    <row r="176" customFormat="false" ht="11.25" hidden="false" customHeight="false" outlineLevel="0" collapsed="false">
      <c r="G176" s="143"/>
      <c r="L176" s="19"/>
    </row>
    <row r="177" customFormat="false" ht="11.25" hidden="false" customHeight="false" outlineLevel="0" collapsed="false">
      <c r="G177" s="19"/>
      <c r="H177" s="19"/>
      <c r="J177" s="144"/>
      <c r="K177" s="100"/>
      <c r="L177" s="144"/>
      <c r="M177" s="100"/>
    </row>
    <row r="178" customFormat="false" ht="11.25" hidden="false" customHeight="false" outlineLevel="0" collapsed="false">
      <c r="G178" s="24"/>
      <c r="H178" s="101"/>
      <c r="I178" s="145"/>
      <c r="J178" s="101"/>
      <c r="K178" s="101"/>
      <c r="L178" s="101"/>
      <c r="M178" s="101"/>
    </row>
    <row r="179" customFormat="false" ht="11.25" hidden="false" customHeight="false" outlineLevel="0" collapsed="false">
      <c r="G179" s="146"/>
      <c r="H179" s="108"/>
      <c r="I179" s="108"/>
      <c r="J179" s="108"/>
      <c r="K179" s="108"/>
      <c r="L179" s="108"/>
      <c r="M179" s="108"/>
      <c r="N179" s="108"/>
    </row>
    <row r="180" customFormat="false" ht="11.25" hidden="false" customHeight="false" outlineLevel="0" collapsed="false">
      <c r="G180" s="146"/>
      <c r="H180" s="108"/>
      <c r="I180" s="108"/>
      <c r="J180" s="108"/>
      <c r="K180" s="108"/>
      <c r="L180" s="108"/>
      <c r="M180" s="108"/>
      <c r="N180" s="108"/>
    </row>
    <row r="181" customFormat="false" ht="11.25" hidden="false" customHeight="false" outlineLevel="0" collapsed="false">
      <c r="G181" s="146"/>
      <c r="H181" s="108"/>
      <c r="I181" s="108"/>
      <c r="J181" s="108"/>
      <c r="K181" s="108"/>
      <c r="L181" s="108"/>
      <c r="M181" s="108"/>
      <c r="N181" s="108"/>
    </row>
    <row r="182" customFormat="false" ht="11.25" hidden="false" customHeight="false" outlineLevel="0" collapsed="false">
      <c r="G182" s="146"/>
      <c r="H182" s="108"/>
      <c r="I182" s="108"/>
      <c r="J182" s="108"/>
      <c r="K182" s="108"/>
      <c r="L182" s="108"/>
      <c r="M182" s="108"/>
      <c r="N182" s="108"/>
    </row>
    <row r="183" customFormat="false" ht="11.25" hidden="false" customHeight="false" outlineLevel="0" collapsed="false">
      <c r="G183" s="146"/>
      <c r="H183" s="108"/>
      <c r="I183" s="108"/>
      <c r="J183" s="108"/>
      <c r="K183" s="108"/>
      <c r="L183" s="108"/>
      <c r="M183" s="108"/>
      <c r="N183" s="108"/>
    </row>
    <row r="184" customFormat="false" ht="11.25" hidden="false" customHeight="false" outlineLevel="0" collapsed="false">
      <c r="G184" s="146"/>
      <c r="H184" s="108"/>
      <c r="I184" s="108"/>
      <c r="J184" s="108"/>
      <c r="K184" s="108"/>
      <c r="L184" s="108"/>
      <c r="M184" s="108"/>
      <c r="N184" s="108"/>
    </row>
    <row r="185" customFormat="false" ht="11.25" hidden="false" customHeight="false" outlineLevel="0" collapsed="false">
      <c r="G185" s="146"/>
      <c r="H185" s="108"/>
      <c r="I185" s="108"/>
      <c r="J185" s="108"/>
      <c r="K185" s="108"/>
      <c r="L185" s="108"/>
      <c r="M185" s="108"/>
      <c r="N185" s="108"/>
    </row>
    <row r="186" customFormat="false" ht="11.25" hidden="false" customHeight="false" outlineLevel="0" collapsed="false">
      <c r="G186" s="146"/>
      <c r="H186" s="108"/>
      <c r="I186" s="108"/>
      <c r="J186" s="108"/>
      <c r="K186" s="108"/>
      <c r="L186" s="108"/>
      <c r="M186" s="108"/>
      <c r="N186" s="108"/>
    </row>
    <row r="187" customFormat="false" ht="11.25" hidden="false" customHeight="false" outlineLevel="0" collapsed="false">
      <c r="G187" s="146"/>
      <c r="H187" s="108"/>
      <c r="I187" s="108"/>
      <c r="J187" s="108"/>
      <c r="K187" s="108"/>
      <c r="L187" s="108"/>
      <c r="M187" s="108"/>
      <c r="N187" s="108"/>
    </row>
    <row r="188" customFormat="false" ht="11.25" hidden="false" customHeight="false" outlineLevel="0" collapsed="false">
      <c r="G188" s="146"/>
      <c r="H188" s="108"/>
      <c r="I188" s="108"/>
      <c r="J188" s="108"/>
      <c r="K188" s="108"/>
      <c r="L188" s="108"/>
      <c r="M188" s="108"/>
      <c r="N188" s="108"/>
    </row>
    <row r="189" customFormat="false" ht="11.25" hidden="false" customHeight="false" outlineLevel="0" collapsed="false">
      <c r="G189" s="146"/>
      <c r="H189" s="108"/>
      <c r="I189" s="108"/>
      <c r="J189" s="108"/>
      <c r="K189" s="108"/>
      <c r="L189" s="108"/>
      <c r="M189" s="108"/>
      <c r="N189" s="108"/>
    </row>
    <row r="190" customFormat="false" ht="11.25" hidden="false" customHeight="false" outlineLevel="0" collapsed="false">
      <c r="G190" s="146"/>
      <c r="H190" s="108"/>
      <c r="I190" s="108"/>
      <c r="J190" s="108"/>
      <c r="K190" s="108"/>
      <c r="L190" s="108"/>
      <c r="M190" s="108"/>
      <c r="N190" s="108"/>
    </row>
    <row r="191" customFormat="false" ht="11.25" hidden="false" customHeight="false" outlineLevel="0" collapsed="false">
      <c r="G191" s="146"/>
      <c r="H191" s="108"/>
      <c r="I191" s="108"/>
      <c r="J191" s="108"/>
      <c r="K191" s="108"/>
      <c r="L191" s="108"/>
      <c r="M191" s="108"/>
      <c r="N191" s="108"/>
    </row>
    <row r="192" customFormat="false" ht="11.25" hidden="false" customHeight="false" outlineLevel="0" collapsed="false">
      <c r="G192" s="146"/>
      <c r="H192" s="108"/>
      <c r="I192" s="108"/>
      <c r="J192" s="108"/>
      <c r="K192" s="108"/>
      <c r="L192" s="108"/>
      <c r="M192" s="108"/>
      <c r="N192" s="108"/>
    </row>
    <row r="193" customFormat="false" ht="11.25" hidden="false" customHeight="false" outlineLevel="0" collapsed="false">
      <c r="G193" s="146"/>
      <c r="H193" s="108"/>
      <c r="I193" s="108"/>
      <c r="J193" s="108"/>
      <c r="K193" s="108"/>
      <c r="L193" s="108"/>
      <c r="M193" s="108"/>
      <c r="N193" s="108"/>
    </row>
    <row r="194" customFormat="false" ht="11.25" hidden="false" customHeight="false" outlineLevel="0" collapsed="false">
      <c r="G194" s="146"/>
      <c r="H194" s="108"/>
      <c r="I194" s="108"/>
      <c r="J194" s="108"/>
      <c r="K194" s="108"/>
      <c r="L194" s="108"/>
      <c r="M194" s="108"/>
      <c r="N194" s="108"/>
    </row>
    <row r="195" customFormat="false" ht="11.25" hidden="false" customHeight="false" outlineLevel="0" collapsed="false">
      <c r="G195" s="146"/>
      <c r="H195" s="108"/>
      <c r="I195" s="108"/>
      <c r="J195" s="108"/>
      <c r="K195" s="108"/>
      <c r="L195" s="108"/>
      <c r="M195" s="108"/>
      <c r="N195" s="108"/>
    </row>
    <row r="196" customFormat="false" ht="11.25" hidden="false" customHeight="false" outlineLevel="0" collapsed="false">
      <c r="G196" s="146"/>
      <c r="H196" s="108"/>
      <c r="I196" s="108"/>
      <c r="J196" s="108"/>
      <c r="K196" s="108"/>
      <c r="L196" s="108"/>
      <c r="M196" s="108"/>
      <c r="N196" s="108"/>
    </row>
    <row r="197" customFormat="false" ht="11.25" hidden="false" customHeight="false" outlineLevel="0" collapsed="false">
      <c r="G197" s="146"/>
      <c r="H197" s="108"/>
      <c r="I197" s="108"/>
      <c r="J197" s="108"/>
      <c r="K197" s="108"/>
      <c r="L197" s="108"/>
      <c r="M197" s="108"/>
      <c r="N197" s="108"/>
    </row>
    <row r="198" customFormat="false" ht="11.25" hidden="false" customHeight="false" outlineLevel="0" collapsed="false">
      <c r="G198" s="146"/>
      <c r="H198" s="108"/>
      <c r="I198" s="108"/>
      <c r="J198" s="108"/>
      <c r="K198" s="108"/>
      <c r="L198" s="108"/>
      <c r="M198" s="108"/>
      <c r="N198" s="108"/>
    </row>
    <row r="199" customFormat="false" ht="11.25" hidden="false" customHeight="false" outlineLevel="0" collapsed="false">
      <c r="G199" s="146"/>
      <c r="H199" s="108"/>
      <c r="I199" s="108"/>
      <c r="J199" s="108"/>
      <c r="K199" s="108"/>
      <c r="L199" s="108"/>
      <c r="M199" s="108"/>
      <c r="N199" s="108"/>
    </row>
    <row r="200" customFormat="false" ht="11.25" hidden="false" customHeight="false" outlineLevel="0" collapsed="false">
      <c r="G200" s="146"/>
      <c r="H200" s="108"/>
      <c r="I200" s="108"/>
      <c r="J200" s="108"/>
      <c r="K200" s="108"/>
      <c r="L200" s="108"/>
      <c r="M200" s="108"/>
      <c r="N200" s="108"/>
    </row>
    <row r="201" customFormat="false" ht="11.25" hidden="false" customHeight="false" outlineLevel="0" collapsed="false">
      <c r="G201" s="146"/>
      <c r="H201" s="108"/>
      <c r="I201" s="108"/>
      <c r="J201" s="108"/>
      <c r="K201" s="108"/>
      <c r="L201" s="108"/>
      <c r="M201" s="108"/>
      <c r="N201" s="108"/>
    </row>
    <row r="202" customFormat="false" ht="11.25" hidden="false" customHeight="false" outlineLevel="0" collapsed="false">
      <c r="G202" s="146"/>
      <c r="H202" s="108"/>
      <c r="I202" s="108"/>
      <c r="J202" s="108"/>
      <c r="K202" s="108"/>
      <c r="L202" s="108"/>
      <c r="M202" s="108"/>
      <c r="N202" s="108"/>
    </row>
    <row r="203" customFormat="false" ht="11.25" hidden="false" customHeight="false" outlineLevel="0" collapsed="false">
      <c r="G203" s="146"/>
      <c r="H203" s="108"/>
      <c r="I203" s="108"/>
      <c r="J203" s="108"/>
      <c r="K203" s="108"/>
      <c r="L203" s="108"/>
      <c r="M203" s="108"/>
      <c r="N203" s="108"/>
    </row>
    <row r="204" customFormat="false" ht="11.25" hidden="false" customHeight="false" outlineLevel="0" collapsed="false">
      <c r="G204" s="146"/>
      <c r="H204" s="108"/>
      <c r="I204" s="108"/>
      <c r="J204" s="108"/>
      <c r="K204" s="108"/>
      <c r="L204" s="108"/>
      <c r="M204" s="108"/>
      <c r="N204" s="108"/>
    </row>
    <row r="205" customFormat="false" ht="11.25" hidden="false" customHeight="false" outlineLevel="0" collapsed="false">
      <c r="G205" s="146"/>
      <c r="H205" s="108"/>
      <c r="I205" s="108"/>
      <c r="J205" s="108"/>
      <c r="K205" s="108"/>
      <c r="L205" s="108"/>
      <c r="M205" s="108"/>
      <c r="N205" s="108"/>
    </row>
    <row r="206" customFormat="false" ht="11.25" hidden="false" customHeight="false" outlineLevel="0" collapsed="false">
      <c r="G206" s="146"/>
      <c r="H206" s="108"/>
      <c r="I206" s="108"/>
      <c r="J206" s="108"/>
      <c r="K206" s="108"/>
      <c r="L206" s="108"/>
      <c r="M206" s="108"/>
      <c r="N206" s="108"/>
    </row>
    <row r="207" customFormat="false" ht="11.25" hidden="false" customHeight="false" outlineLevel="0" collapsed="false">
      <c r="G207" s="146"/>
      <c r="H207" s="108"/>
      <c r="I207" s="108"/>
      <c r="J207" s="108"/>
      <c r="K207" s="108"/>
      <c r="L207" s="108"/>
      <c r="M207" s="108"/>
      <c r="N207" s="108"/>
    </row>
    <row r="208" customFormat="false" ht="11.25" hidden="false" customHeight="false" outlineLevel="0" collapsed="false">
      <c r="G208" s="146"/>
      <c r="H208" s="108"/>
      <c r="I208" s="108"/>
      <c r="J208" s="108"/>
      <c r="K208" s="108"/>
      <c r="L208" s="108"/>
      <c r="M208" s="108"/>
      <c r="N208" s="108"/>
    </row>
    <row r="209" customFormat="false" ht="11.25" hidden="false" customHeight="false" outlineLevel="0" collapsed="false">
      <c r="G209" s="146"/>
      <c r="H209" s="147"/>
      <c r="I209" s="147"/>
      <c r="J209" s="147"/>
      <c r="K209" s="147"/>
      <c r="L209" s="147"/>
      <c r="M209" s="147"/>
      <c r="N209" s="147"/>
    </row>
    <row r="210" customFormat="false" ht="11.25" hidden="false" customHeight="false" outlineLevel="0" collapsed="false">
      <c r="G210" s="146"/>
      <c r="H210" s="108"/>
      <c r="I210" s="148"/>
      <c r="J210" s="108"/>
      <c r="K210" s="148"/>
      <c r="L210" s="108"/>
      <c r="M210" s="108"/>
      <c r="N210" s="108"/>
    </row>
    <row r="211" customFormat="false" ht="11.25" hidden="false" customHeight="false" outlineLevel="0" collapsed="false">
      <c r="G211" s="149"/>
      <c r="I211" s="108"/>
      <c r="J211" s="108"/>
      <c r="K211" s="108"/>
      <c r="L211" s="108"/>
      <c r="M211" s="108"/>
      <c r="N211" s="120"/>
    </row>
    <row r="212" customFormat="false" ht="11.25" hidden="false" customHeight="false" outlineLevel="0" collapsed="false">
      <c r="J212" s="79"/>
      <c r="K212" s="79"/>
      <c r="L212" s="79"/>
      <c r="M212" s="79"/>
      <c r="N212" s="150"/>
    </row>
    <row r="213" customFormat="false" ht="11.25" hidden="false" customHeight="false" outlineLevel="0" collapsed="false">
      <c r="I213" s="108"/>
      <c r="J213" s="16"/>
      <c r="K213" s="151"/>
      <c r="L213" s="16"/>
      <c r="M213" s="151"/>
      <c r="N213" s="117"/>
    </row>
    <row r="214" customFormat="false" ht="11.25" hidden="false" customHeight="false" outlineLevel="0" collapsed="false">
      <c r="J214" s="16"/>
      <c r="K214" s="16"/>
      <c r="L214" s="16"/>
      <c r="M214" s="16"/>
      <c r="N214" s="108"/>
    </row>
    <row r="215" customFormat="false" ht="11.25" hidden="false" customHeight="false" outlineLevel="0" collapsed="false">
      <c r="J215" s="153"/>
      <c r="K215" s="153"/>
      <c r="L215" s="152"/>
      <c r="M215" s="153"/>
      <c r="N215" s="184"/>
    </row>
    <row r="216" customFormat="false" ht="11.25" hidden="false" customHeight="false" outlineLevel="0" collapsed="false">
      <c r="J216" s="153"/>
      <c r="K216" s="153"/>
      <c r="L216" s="152"/>
      <c r="M216" s="153"/>
      <c r="N216" s="184"/>
    </row>
    <row r="219" customFormat="false" ht="11.25" hidden="false" customHeight="false" outlineLevel="0" collapsed="false">
      <c r="G219" s="143"/>
      <c r="L219" s="19"/>
    </row>
    <row r="220" customFormat="false" ht="11.25" hidden="false" customHeight="false" outlineLevel="0" collapsed="false">
      <c r="G220" s="19"/>
      <c r="H220" s="19"/>
      <c r="J220" s="144"/>
      <c r="K220" s="100"/>
      <c r="L220" s="144"/>
      <c r="M220" s="100"/>
    </row>
    <row r="221" customFormat="false" ht="11.25" hidden="false" customHeight="false" outlineLevel="0" collapsed="false">
      <c r="G221" s="24"/>
      <c r="H221" s="101"/>
      <c r="I221" s="145"/>
      <c r="J221" s="101"/>
      <c r="K221" s="101"/>
      <c r="L221" s="101"/>
      <c r="M221" s="101"/>
    </row>
    <row r="222" customFormat="false" ht="11.25" hidden="false" customHeight="false" outlineLevel="0" collapsed="false">
      <c r="G222" s="146"/>
      <c r="H222" s="108"/>
      <c r="I222" s="108"/>
      <c r="J222" s="108"/>
      <c r="K222" s="108"/>
      <c r="L222" s="108"/>
      <c r="M222" s="108"/>
      <c r="N222" s="108"/>
    </row>
    <row r="223" customFormat="false" ht="11.25" hidden="false" customHeight="false" outlineLevel="0" collapsed="false">
      <c r="G223" s="146"/>
      <c r="H223" s="108"/>
      <c r="I223" s="108"/>
      <c r="J223" s="108"/>
      <c r="K223" s="108"/>
      <c r="L223" s="108"/>
      <c r="M223" s="108"/>
      <c r="N223" s="108"/>
    </row>
    <row r="224" customFormat="false" ht="11.25" hidden="false" customHeight="false" outlineLevel="0" collapsed="false">
      <c r="G224" s="146"/>
      <c r="H224" s="108"/>
      <c r="I224" s="108"/>
      <c r="J224" s="108"/>
      <c r="K224" s="108"/>
      <c r="L224" s="108"/>
      <c r="M224" s="108"/>
      <c r="N224" s="108"/>
    </row>
    <row r="225" customFormat="false" ht="11.25" hidden="false" customHeight="false" outlineLevel="0" collapsed="false">
      <c r="G225" s="146"/>
      <c r="H225" s="108"/>
      <c r="I225" s="108"/>
      <c r="J225" s="108"/>
      <c r="K225" s="108"/>
      <c r="L225" s="108"/>
      <c r="M225" s="108"/>
      <c r="N225" s="108"/>
    </row>
    <row r="226" customFormat="false" ht="11.25" hidden="false" customHeight="false" outlineLevel="0" collapsed="false">
      <c r="G226" s="146"/>
      <c r="H226" s="108"/>
      <c r="I226" s="108"/>
      <c r="J226" s="108"/>
      <c r="K226" s="108"/>
      <c r="L226" s="108"/>
      <c r="M226" s="108"/>
      <c r="N226" s="108"/>
    </row>
    <row r="227" customFormat="false" ht="11.25" hidden="false" customHeight="false" outlineLevel="0" collapsed="false">
      <c r="G227" s="146"/>
      <c r="H227" s="108"/>
      <c r="I227" s="108"/>
      <c r="J227" s="108"/>
      <c r="K227" s="108"/>
      <c r="L227" s="108"/>
      <c r="M227" s="108"/>
      <c r="N227" s="108"/>
    </row>
    <row r="228" customFormat="false" ht="11.25" hidden="false" customHeight="false" outlineLevel="0" collapsed="false">
      <c r="G228" s="146"/>
      <c r="H228" s="108"/>
      <c r="I228" s="108"/>
      <c r="J228" s="108"/>
      <c r="K228" s="108"/>
      <c r="L228" s="108"/>
      <c r="M228" s="108"/>
      <c r="N228" s="108"/>
    </row>
    <row r="229" customFormat="false" ht="11.25" hidden="false" customHeight="false" outlineLevel="0" collapsed="false">
      <c r="G229" s="146"/>
      <c r="H229" s="108"/>
      <c r="I229" s="108"/>
      <c r="J229" s="108"/>
      <c r="K229" s="108"/>
      <c r="L229" s="108"/>
      <c r="M229" s="108"/>
      <c r="N229" s="108"/>
    </row>
    <row r="230" customFormat="false" ht="11.25" hidden="false" customHeight="false" outlineLevel="0" collapsed="false">
      <c r="G230" s="146"/>
      <c r="H230" s="108"/>
      <c r="I230" s="108"/>
      <c r="J230" s="108"/>
      <c r="K230" s="108"/>
      <c r="L230" s="108"/>
      <c r="M230" s="108"/>
      <c r="N230" s="108"/>
    </row>
    <row r="231" customFormat="false" ht="11.25" hidden="false" customHeight="false" outlineLevel="0" collapsed="false">
      <c r="G231" s="146"/>
      <c r="H231" s="108"/>
      <c r="I231" s="108"/>
      <c r="J231" s="108"/>
      <c r="K231" s="108"/>
      <c r="L231" s="108"/>
      <c r="M231" s="108"/>
      <c r="N231" s="108"/>
    </row>
    <row r="232" customFormat="false" ht="11.25" hidden="false" customHeight="false" outlineLevel="0" collapsed="false">
      <c r="G232" s="146"/>
      <c r="H232" s="108"/>
      <c r="I232" s="108"/>
      <c r="J232" s="108"/>
      <c r="K232" s="108"/>
      <c r="L232" s="108"/>
      <c r="M232" s="108"/>
      <c r="N232" s="108"/>
    </row>
    <row r="233" customFormat="false" ht="11.25" hidden="false" customHeight="false" outlineLevel="0" collapsed="false">
      <c r="G233" s="146"/>
      <c r="H233" s="108"/>
      <c r="I233" s="108"/>
      <c r="J233" s="108"/>
      <c r="K233" s="108"/>
      <c r="L233" s="108"/>
      <c r="M233" s="108"/>
      <c r="N233" s="108"/>
    </row>
    <row r="234" customFormat="false" ht="11.25" hidden="false" customHeight="false" outlineLevel="0" collapsed="false">
      <c r="G234" s="146"/>
      <c r="H234" s="108"/>
      <c r="I234" s="108"/>
      <c r="J234" s="108"/>
      <c r="K234" s="108"/>
      <c r="L234" s="108"/>
      <c r="M234" s="108"/>
      <c r="N234" s="108"/>
    </row>
    <row r="235" customFormat="false" ht="11.25" hidden="false" customHeight="false" outlineLevel="0" collapsed="false">
      <c r="G235" s="146"/>
      <c r="H235" s="108"/>
      <c r="I235" s="108"/>
      <c r="J235" s="108"/>
      <c r="K235" s="108"/>
      <c r="L235" s="108"/>
      <c r="M235" s="108"/>
      <c r="N235" s="108"/>
    </row>
    <row r="236" customFormat="false" ht="11.25" hidden="false" customHeight="false" outlineLevel="0" collapsed="false">
      <c r="G236" s="146"/>
      <c r="H236" s="108"/>
      <c r="I236" s="108"/>
      <c r="J236" s="108"/>
      <c r="K236" s="108"/>
      <c r="L236" s="108"/>
      <c r="M236" s="108"/>
      <c r="N236" s="108"/>
    </row>
    <row r="237" customFormat="false" ht="11.25" hidden="false" customHeight="false" outlineLevel="0" collapsed="false">
      <c r="G237" s="146"/>
      <c r="H237" s="108"/>
      <c r="I237" s="108"/>
      <c r="J237" s="108"/>
      <c r="K237" s="108"/>
      <c r="L237" s="108"/>
      <c r="M237" s="108"/>
      <c r="N237" s="108"/>
    </row>
    <row r="238" customFormat="false" ht="11.25" hidden="false" customHeight="false" outlineLevel="0" collapsed="false">
      <c r="G238" s="146"/>
      <c r="H238" s="108"/>
      <c r="I238" s="108"/>
      <c r="J238" s="108"/>
      <c r="K238" s="108"/>
      <c r="L238" s="108"/>
      <c r="M238" s="108"/>
      <c r="N238" s="108"/>
    </row>
    <row r="239" customFormat="false" ht="11.25" hidden="false" customHeight="false" outlineLevel="0" collapsed="false">
      <c r="G239" s="146"/>
      <c r="H239" s="108"/>
      <c r="I239" s="108"/>
      <c r="J239" s="108"/>
      <c r="K239" s="108"/>
      <c r="L239" s="108"/>
      <c r="M239" s="108"/>
      <c r="N239" s="108"/>
    </row>
    <row r="240" customFormat="false" ht="11.25" hidden="false" customHeight="false" outlineLevel="0" collapsed="false">
      <c r="G240" s="146"/>
      <c r="H240" s="108"/>
      <c r="I240" s="108"/>
      <c r="J240" s="108"/>
      <c r="K240" s="108"/>
      <c r="L240" s="108"/>
      <c r="M240" s="108"/>
      <c r="N240" s="108"/>
    </row>
    <row r="241" customFormat="false" ht="11.25" hidden="false" customHeight="false" outlineLevel="0" collapsed="false">
      <c r="G241" s="146"/>
      <c r="H241" s="108"/>
      <c r="I241" s="108"/>
      <c r="J241" s="108"/>
      <c r="K241" s="108"/>
      <c r="L241" s="108"/>
      <c r="M241" s="108"/>
      <c r="N241" s="108"/>
    </row>
    <row r="242" customFormat="false" ht="11.25" hidden="false" customHeight="false" outlineLevel="0" collapsed="false">
      <c r="G242" s="146"/>
      <c r="H242" s="108"/>
      <c r="I242" s="108"/>
      <c r="J242" s="108"/>
      <c r="K242" s="108"/>
      <c r="L242" s="108"/>
      <c r="M242" s="108"/>
      <c r="N242" s="108"/>
    </row>
    <row r="243" customFormat="false" ht="11.25" hidden="false" customHeight="false" outlineLevel="0" collapsed="false">
      <c r="G243" s="146"/>
      <c r="H243" s="108"/>
      <c r="I243" s="108"/>
      <c r="J243" s="108"/>
      <c r="K243" s="108"/>
      <c r="L243" s="108"/>
      <c r="M243" s="108"/>
      <c r="N243" s="108"/>
    </row>
    <row r="244" customFormat="false" ht="11.25" hidden="false" customHeight="false" outlineLevel="0" collapsed="false">
      <c r="G244" s="146"/>
      <c r="H244" s="108"/>
      <c r="I244" s="108"/>
      <c r="J244" s="108"/>
      <c r="K244" s="108"/>
      <c r="L244" s="108"/>
      <c r="M244" s="108"/>
      <c r="N244" s="108"/>
    </row>
    <row r="245" customFormat="false" ht="11.25" hidden="false" customHeight="false" outlineLevel="0" collapsed="false">
      <c r="G245" s="146"/>
      <c r="H245" s="108"/>
      <c r="I245" s="108"/>
      <c r="J245" s="108"/>
      <c r="K245" s="108"/>
      <c r="L245" s="108"/>
      <c r="M245" s="108"/>
      <c r="N245" s="108"/>
    </row>
    <row r="246" customFormat="false" ht="11.25" hidden="false" customHeight="false" outlineLevel="0" collapsed="false">
      <c r="G246" s="146"/>
      <c r="H246" s="108"/>
      <c r="I246" s="108"/>
      <c r="J246" s="108"/>
      <c r="K246" s="108"/>
      <c r="L246" s="108"/>
      <c r="M246" s="108"/>
      <c r="N246" s="108"/>
    </row>
    <row r="247" customFormat="false" ht="11.25" hidden="false" customHeight="false" outlineLevel="0" collapsed="false">
      <c r="G247" s="146"/>
      <c r="H247" s="108"/>
      <c r="I247" s="108"/>
      <c r="J247" s="108"/>
      <c r="K247" s="108"/>
      <c r="L247" s="108"/>
      <c r="M247" s="108"/>
      <c r="N247" s="108"/>
    </row>
    <row r="248" customFormat="false" ht="11.25" hidden="false" customHeight="false" outlineLevel="0" collapsed="false">
      <c r="G248" s="146"/>
      <c r="H248" s="108"/>
      <c r="I248" s="108"/>
      <c r="J248" s="108"/>
      <c r="K248" s="108"/>
      <c r="L248" s="108"/>
      <c r="M248" s="108"/>
      <c r="N248" s="108"/>
    </row>
    <row r="249" customFormat="false" ht="11.25" hidden="false" customHeight="false" outlineLevel="0" collapsed="false">
      <c r="G249" s="146"/>
      <c r="H249" s="108"/>
      <c r="I249" s="108"/>
      <c r="J249" s="108"/>
      <c r="K249" s="108"/>
      <c r="L249" s="108"/>
      <c r="M249" s="108"/>
      <c r="N249" s="108"/>
    </row>
    <row r="250" customFormat="false" ht="11.25" hidden="false" customHeight="false" outlineLevel="0" collapsed="false">
      <c r="G250" s="146"/>
      <c r="H250" s="108"/>
      <c r="I250" s="108"/>
      <c r="J250" s="108"/>
      <c r="K250" s="108"/>
      <c r="L250" s="108"/>
      <c r="M250" s="108"/>
      <c r="N250" s="108"/>
    </row>
    <row r="251" customFormat="false" ht="11.25" hidden="false" customHeight="false" outlineLevel="0" collapsed="false">
      <c r="G251" s="146"/>
      <c r="H251" s="108"/>
      <c r="I251" s="108"/>
      <c r="J251" s="108"/>
      <c r="K251" s="108"/>
      <c r="L251" s="108"/>
      <c r="M251" s="108"/>
      <c r="N251" s="108"/>
    </row>
    <row r="252" customFormat="false" ht="11.25" hidden="false" customHeight="false" outlineLevel="0" collapsed="false">
      <c r="G252" s="146"/>
      <c r="H252" s="147"/>
      <c r="I252" s="147"/>
      <c r="J252" s="147"/>
      <c r="K252" s="147"/>
      <c r="L252" s="147"/>
      <c r="M252" s="147"/>
      <c r="N252" s="147"/>
    </row>
    <row r="253" customFormat="false" ht="11.25" hidden="false" customHeight="false" outlineLevel="0" collapsed="false">
      <c r="G253" s="146"/>
      <c r="H253" s="108"/>
      <c r="I253" s="148"/>
      <c r="J253" s="108"/>
      <c r="K253" s="148"/>
      <c r="L253" s="108"/>
      <c r="M253" s="108"/>
      <c r="N253" s="108"/>
    </row>
    <row r="254" customFormat="false" ht="11.25" hidden="false" customHeight="false" outlineLevel="0" collapsed="false">
      <c r="G254" s="149"/>
      <c r="I254" s="108"/>
      <c r="J254" s="108"/>
      <c r="K254" s="108"/>
      <c r="L254" s="108"/>
      <c r="M254" s="108"/>
      <c r="N254" s="120"/>
    </row>
    <row r="255" customFormat="false" ht="11.25" hidden="false" customHeight="false" outlineLevel="0" collapsed="false">
      <c r="J255" s="79"/>
      <c r="K255" s="79"/>
      <c r="L255" s="79"/>
      <c r="M255" s="79"/>
      <c r="N255" s="150"/>
    </row>
    <row r="256" customFormat="false" ht="11.25" hidden="false" customHeight="false" outlineLevel="0" collapsed="false">
      <c r="I256" s="108"/>
      <c r="J256" s="16"/>
      <c r="K256" s="151"/>
      <c r="L256" s="16"/>
      <c r="M256" s="151"/>
      <c r="N256" s="117"/>
    </row>
    <row r="257" customFormat="false" ht="11.25" hidden="false" customHeight="false" outlineLevel="0" collapsed="false">
      <c r="J257" s="16"/>
      <c r="K257" s="16"/>
      <c r="L257" s="16"/>
      <c r="M257" s="16"/>
      <c r="N257" s="108"/>
    </row>
    <row r="258" customFormat="false" ht="11.25" hidden="false" customHeight="false" outlineLevel="0" collapsed="false">
      <c r="J258" s="153"/>
      <c r="K258" s="153"/>
      <c r="L258" s="152"/>
      <c r="M258" s="153"/>
      <c r="N258" s="184"/>
    </row>
    <row r="259" customFormat="false" ht="11.25" hidden="false" customHeight="false" outlineLevel="0" collapsed="false">
      <c r="J259" s="153"/>
      <c r="K259" s="153"/>
      <c r="L259" s="152"/>
      <c r="M259" s="153"/>
      <c r="N259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2" activeCellId="3" sqref="E19 E34 D42 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3" width="9.85"/>
    <col collapsed="false" customWidth="true" hidden="false" outlineLevel="0" max="28" min="27" style="128" width="9.85"/>
    <col collapsed="false" customWidth="true" hidden="false" outlineLevel="0" max="29" min="29" style="128" width="8.28"/>
    <col collapsed="false" customWidth="true" hidden="false" outlineLevel="0" max="31" min="30" style="128" width="11.13"/>
    <col collapsed="false" customWidth="true" hidden="false" outlineLevel="0" max="33" min="33" style="19" width="9.14"/>
    <col collapsed="false" customWidth="true" hidden="false" outlineLevel="0" max="34" min="34" style="108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6"/>
      <c r="D1" s="0" t="n">
        <v>24949</v>
      </c>
    </row>
    <row r="2" customFormat="false" ht="12.75" hidden="false" customHeight="false" outlineLevel="0" collapsed="false">
      <c r="A2" s="160"/>
      <c r="B2" s="157"/>
      <c r="C2" s="108"/>
      <c r="D2" s="108" t="s">
        <v>126</v>
      </c>
      <c r="F2" s="0"/>
      <c r="H2" s="173"/>
      <c r="Z2" s="123"/>
      <c r="AA2" s="108"/>
      <c r="AB2" s="108"/>
      <c r="AC2" s="108"/>
      <c r="AD2" s="108"/>
      <c r="AE2" s="108"/>
      <c r="AF2" s="9"/>
    </row>
    <row r="3" customFormat="false" ht="12.75" hidden="false" customHeight="false" outlineLevel="0" collapsed="false">
      <c r="B3" s="98" t="s">
        <v>127</v>
      </c>
      <c r="D3" s="188" t="s">
        <v>128</v>
      </c>
      <c r="E3" s="100"/>
      <c r="F3" s="188" t="s">
        <v>129</v>
      </c>
      <c r="G3" s="100"/>
      <c r="I3" s="105"/>
      <c r="J3" s="105"/>
      <c r="K3" s="105"/>
      <c r="L3" s="105"/>
      <c r="M3" s="105"/>
      <c r="O3" s="106"/>
      <c r="T3" s="6"/>
      <c r="U3" s="105"/>
      <c r="V3" s="105"/>
      <c r="W3" s="105"/>
      <c r="X3" s="105"/>
      <c r="Y3" s="105"/>
      <c r="Z3" s="123"/>
      <c r="AA3" s="128" t="s">
        <v>130</v>
      </c>
      <c r="AB3" s="189"/>
      <c r="AC3" s="108"/>
      <c r="AD3" s="108"/>
      <c r="AE3" s="108"/>
      <c r="AF3" s="9"/>
      <c r="AG3" s="19" t="s">
        <v>131</v>
      </c>
      <c r="AH3" s="189"/>
      <c r="AM3" s="19" t="s">
        <v>132</v>
      </c>
      <c r="AN3" s="0"/>
    </row>
    <row r="4" customFormat="false" ht="12.75" hidden="false" customHeight="false" outlineLevel="0" collapsed="false">
      <c r="A4" s="75" t="s">
        <v>113</v>
      </c>
      <c r="B4" s="101" t="s">
        <v>114</v>
      </c>
      <c r="C4" s="101" t="s">
        <v>115</v>
      </c>
      <c r="D4" s="101" t="s">
        <v>114</v>
      </c>
      <c r="E4" s="101" t="s">
        <v>115</v>
      </c>
      <c r="F4" s="101" t="s">
        <v>114</v>
      </c>
      <c r="G4" s="101" t="s">
        <v>115</v>
      </c>
      <c r="H4" s="190" t="s">
        <v>133</v>
      </c>
      <c r="I4" s="105"/>
      <c r="J4" s="105"/>
      <c r="K4" s="105"/>
      <c r="L4" s="105"/>
      <c r="M4" s="105"/>
      <c r="N4" s="18"/>
      <c r="O4" s="106"/>
      <c r="R4" s="110"/>
      <c r="T4" s="6"/>
      <c r="U4" s="105"/>
      <c r="V4" s="105"/>
      <c r="W4" s="105"/>
      <c r="X4" s="105"/>
      <c r="Y4" s="105"/>
      <c r="Z4" s="123"/>
      <c r="AA4" s="189"/>
      <c r="AB4" s="189"/>
      <c r="AC4" s="108"/>
      <c r="AD4" s="108"/>
      <c r="AE4" s="108"/>
      <c r="AF4" s="9"/>
      <c r="AG4" s="18"/>
      <c r="AH4" s="189"/>
      <c r="AK4" s="191"/>
      <c r="AN4" s="0"/>
    </row>
    <row r="5" customFormat="false" ht="12.75" hidden="false" customHeight="false" outlineLevel="0" collapsed="false">
      <c r="A5" s="107" t="n">
        <v>1</v>
      </c>
      <c r="B5" s="108"/>
      <c r="C5" s="108"/>
      <c r="D5" s="108" t="n">
        <f aca="false">-306663-750</f>
        <v>-307413</v>
      </c>
      <c r="E5" s="108" t="n">
        <v>-308597</v>
      </c>
      <c r="F5" s="108"/>
      <c r="G5" s="108"/>
      <c r="H5" s="108" t="n">
        <f aca="false">+E5-D5+C5-B5</f>
        <v>-1184</v>
      </c>
      <c r="M5" s="30"/>
      <c r="O5" s="79"/>
      <c r="P5" s="63"/>
      <c r="T5" s="112"/>
      <c r="U5" s="113"/>
      <c r="V5" s="113"/>
      <c r="W5" s="113"/>
      <c r="X5" s="113"/>
      <c r="Y5" s="113"/>
      <c r="Z5" s="123"/>
      <c r="AA5" s="108" t="s">
        <v>127</v>
      </c>
      <c r="AB5" s="108"/>
      <c r="AC5" s="108"/>
      <c r="AD5" s="192" t="s">
        <v>134</v>
      </c>
      <c r="AE5" s="192"/>
      <c r="AF5" s="100"/>
      <c r="AG5" s="19" t="s">
        <v>127</v>
      </c>
      <c r="AJ5" s="100" t="s">
        <v>134</v>
      </c>
      <c r="AK5" s="100"/>
      <c r="AL5" s="100"/>
      <c r="AM5" s="19" t="s">
        <v>127</v>
      </c>
      <c r="AO5" s="100" t="s">
        <v>134</v>
      </c>
      <c r="AP5" s="100"/>
    </row>
    <row r="6" customFormat="false" ht="12.75" hidden="false" customHeight="false" outlineLevel="0" collapsed="false">
      <c r="A6" s="107" t="n">
        <v>2</v>
      </c>
      <c r="B6" s="108"/>
      <c r="C6" s="108"/>
      <c r="D6" s="108" t="n">
        <f aca="false">-256855-750</f>
        <v>-257605</v>
      </c>
      <c r="E6" s="108" t="n">
        <v>-261199</v>
      </c>
      <c r="F6" s="108"/>
      <c r="G6" s="108"/>
      <c r="H6" s="108" t="n">
        <f aca="false">+E6-D6+C6-B6</f>
        <v>-3594</v>
      </c>
      <c r="I6" s="113"/>
      <c r="J6" s="113"/>
      <c r="K6" s="113"/>
      <c r="L6" s="113"/>
      <c r="M6" s="113"/>
      <c r="N6" s="114"/>
      <c r="O6" s="115"/>
      <c r="P6" s="63"/>
      <c r="Q6" s="79"/>
      <c r="R6" s="110"/>
      <c r="T6" s="112"/>
      <c r="U6" s="113"/>
      <c r="V6" s="113"/>
      <c r="W6" s="113"/>
      <c r="X6" s="113"/>
      <c r="Y6" s="113"/>
      <c r="Z6" s="193" t="s">
        <v>116</v>
      </c>
      <c r="AA6" s="145" t="s">
        <v>135</v>
      </c>
      <c r="AB6" s="145" t="s">
        <v>136</v>
      </c>
      <c r="AC6" s="145" t="s">
        <v>137</v>
      </c>
      <c r="AD6" s="145" t="s">
        <v>135</v>
      </c>
      <c r="AE6" s="145" t="s">
        <v>136</v>
      </c>
      <c r="AF6" s="101" t="s">
        <v>137</v>
      </c>
      <c r="AG6" s="101" t="s">
        <v>135</v>
      </c>
      <c r="AH6" s="145" t="s">
        <v>136</v>
      </c>
      <c r="AI6" s="101" t="s">
        <v>137</v>
      </c>
      <c r="AJ6" s="101" t="s">
        <v>135</v>
      </c>
      <c r="AK6" s="101" t="s">
        <v>136</v>
      </c>
      <c r="AL6" s="101" t="s">
        <v>137</v>
      </c>
      <c r="AM6" s="101" t="s">
        <v>135</v>
      </c>
      <c r="AN6" s="101" t="s">
        <v>136</v>
      </c>
      <c r="AO6" s="101" t="s">
        <v>135</v>
      </c>
      <c r="AP6" s="101" t="s">
        <v>136</v>
      </c>
    </row>
    <row r="7" customFormat="false" ht="12.75" hidden="false" customHeight="false" outlineLevel="0" collapsed="false">
      <c r="A7" s="107" t="n">
        <v>3</v>
      </c>
      <c r="B7" s="108"/>
      <c r="C7" s="108"/>
      <c r="D7" s="108" t="n">
        <f aca="false">-279637-750</f>
        <v>-280387</v>
      </c>
      <c r="E7" s="108" t="n">
        <v>-280376</v>
      </c>
      <c r="F7" s="108"/>
      <c r="G7" s="108"/>
      <c r="H7" s="108" t="n">
        <f aca="false">+E7-D7+C7-B7</f>
        <v>11</v>
      </c>
      <c r="I7" s="113"/>
      <c r="L7" s="194"/>
      <c r="M7" s="113"/>
      <c r="N7" s="116"/>
      <c r="O7" s="115"/>
      <c r="P7" s="63"/>
      <c r="Q7" s="79"/>
      <c r="R7" s="110"/>
      <c r="T7" s="112"/>
      <c r="U7" s="113"/>
      <c r="V7" s="113"/>
      <c r="W7" s="113"/>
      <c r="X7" s="113"/>
      <c r="Y7" s="113"/>
      <c r="Z7" s="123"/>
      <c r="AA7" s="108"/>
      <c r="AB7" s="108"/>
      <c r="AC7" s="108"/>
      <c r="AD7" s="108"/>
      <c r="AE7" s="108"/>
      <c r="AF7" s="108"/>
      <c r="AI7" s="108"/>
      <c r="AJ7" s="108"/>
      <c r="AK7" s="108"/>
      <c r="AL7" s="108"/>
      <c r="AO7" s="108"/>
      <c r="AP7" s="108"/>
    </row>
    <row r="8" customFormat="false" ht="12.75" hidden="false" customHeight="false" outlineLevel="0" collapsed="false">
      <c r="A8" s="107" t="n">
        <v>4</v>
      </c>
      <c r="B8" s="108"/>
      <c r="C8" s="108"/>
      <c r="D8" s="108" t="n">
        <f aca="false">-263561-750</f>
        <v>-264311</v>
      </c>
      <c r="E8" s="108" t="n">
        <v>-267286</v>
      </c>
      <c r="F8" s="108"/>
      <c r="G8" s="108"/>
      <c r="H8" s="108" t="n">
        <f aca="false">+E8-D8+C8-B8</f>
        <v>-2975</v>
      </c>
      <c r="I8" s="113"/>
      <c r="L8" s="194"/>
      <c r="M8" s="113"/>
      <c r="N8" s="116"/>
      <c r="O8" s="115"/>
      <c r="P8" s="63"/>
      <c r="Q8" s="79"/>
      <c r="R8" s="110"/>
      <c r="T8" s="112"/>
      <c r="U8" s="113"/>
      <c r="V8" s="113"/>
      <c r="W8" s="113"/>
      <c r="X8" s="113"/>
      <c r="Y8" s="113"/>
      <c r="Z8" s="123" t="n">
        <v>35004</v>
      </c>
      <c r="AA8" s="108" t="n">
        <v>154897</v>
      </c>
      <c r="AB8" s="108" t="n">
        <f aca="false">158568+147</f>
        <v>158715</v>
      </c>
      <c r="AC8" s="108" t="n">
        <f aca="false">+AB8-AA8</f>
        <v>3818</v>
      </c>
      <c r="AD8" s="108"/>
      <c r="AE8" s="108"/>
      <c r="AF8" s="108" t="n">
        <f aca="false">+AE8-AD8</f>
        <v>0</v>
      </c>
      <c r="AI8" s="108" t="n">
        <f aca="false">+AH8-AG8</f>
        <v>0</v>
      </c>
      <c r="AJ8" s="108"/>
      <c r="AK8" s="108"/>
      <c r="AL8" s="108" t="n">
        <f aca="false">+AK8-AJ8</f>
        <v>0</v>
      </c>
      <c r="AM8" s="120" t="n">
        <f aca="false">+AA8-AG8</f>
        <v>154897</v>
      </c>
      <c r="AN8" s="120" t="n">
        <f aca="false">+AB8-AH8</f>
        <v>158715</v>
      </c>
      <c r="AO8" s="108" t="n">
        <f aca="false">+AD8-AJ8</f>
        <v>0</v>
      </c>
      <c r="AP8" s="108" t="n">
        <f aca="false">+AE8-AK8</f>
        <v>0</v>
      </c>
    </row>
    <row r="9" customFormat="false" ht="12.75" hidden="false" customHeight="false" outlineLevel="0" collapsed="false">
      <c r="A9" s="107" t="n">
        <v>5</v>
      </c>
      <c r="B9" s="108"/>
      <c r="C9" s="108"/>
      <c r="D9" s="108" t="n">
        <f aca="false">-239483-750</f>
        <v>-240233</v>
      </c>
      <c r="E9" s="108" t="n">
        <v>-241704</v>
      </c>
      <c r="F9" s="108"/>
      <c r="G9" s="108"/>
      <c r="H9" s="108" t="n">
        <f aca="false">+E9-D9+C9-B9</f>
        <v>-1471</v>
      </c>
      <c r="I9" s="113"/>
      <c r="L9" s="194"/>
      <c r="M9" s="113"/>
      <c r="N9" s="116"/>
      <c r="O9" s="115"/>
      <c r="P9" s="63"/>
      <c r="Q9" s="79"/>
      <c r="R9" s="110"/>
      <c r="T9" s="112"/>
      <c r="U9" s="113"/>
      <c r="V9" s="113"/>
      <c r="W9" s="113"/>
      <c r="X9" s="113"/>
      <c r="Y9" s="113"/>
      <c r="Z9" s="123" t="n">
        <v>35034</v>
      </c>
      <c r="AA9" s="108" t="n">
        <v>517823</v>
      </c>
      <c r="AB9" s="108" t="n">
        <v>504438</v>
      </c>
      <c r="AC9" s="108" t="n">
        <f aca="false">+AB9-AA9</f>
        <v>-13385</v>
      </c>
      <c r="AD9" s="108"/>
      <c r="AE9" s="108"/>
      <c r="AF9" s="108" t="n">
        <f aca="false">+AE9-AD9</f>
        <v>0</v>
      </c>
      <c r="AI9" s="108" t="n">
        <f aca="false">+AH9-AG9</f>
        <v>0</v>
      </c>
      <c r="AJ9" s="108"/>
      <c r="AK9" s="108"/>
      <c r="AL9" s="108" t="n">
        <f aca="false">+AK9-AJ9</f>
        <v>0</v>
      </c>
      <c r="AM9" s="120" t="n">
        <f aca="false">+AA9-AG9</f>
        <v>517823</v>
      </c>
      <c r="AN9" s="120" t="n">
        <f aca="false">+AB9-AH9</f>
        <v>504438</v>
      </c>
      <c r="AO9" s="108" t="n">
        <f aca="false">+AD9-AJ9</f>
        <v>0</v>
      </c>
      <c r="AP9" s="108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7" t="n">
        <v>6</v>
      </c>
      <c r="B10" s="108"/>
      <c r="C10" s="108"/>
      <c r="D10" s="108" t="n">
        <f aca="false">-258498-750</f>
        <v>-259248</v>
      </c>
      <c r="E10" s="108" t="n">
        <v>-262660</v>
      </c>
      <c r="F10" s="108"/>
      <c r="G10" s="108"/>
      <c r="H10" s="108" t="n">
        <f aca="false">+E10-D10+C10-B10</f>
        <v>-3412</v>
      </c>
      <c r="I10" s="113"/>
      <c r="L10" s="194"/>
      <c r="M10" s="113"/>
      <c r="N10" s="116"/>
      <c r="O10" s="115"/>
      <c r="P10" s="63"/>
      <c r="Q10" s="79"/>
      <c r="R10" s="110"/>
      <c r="T10" s="112"/>
      <c r="U10" s="113"/>
      <c r="V10" s="113"/>
      <c r="W10" s="113"/>
      <c r="X10" s="113"/>
      <c r="Y10" s="113"/>
      <c r="Z10" s="123" t="n">
        <v>35065</v>
      </c>
      <c r="AA10" s="108" t="n">
        <v>7601093</v>
      </c>
      <c r="AB10" s="108" t="n">
        <v>7546494</v>
      </c>
      <c r="AC10" s="108" t="n">
        <f aca="false">+AB10-AA10</f>
        <v>-54599</v>
      </c>
      <c r="AD10" s="108"/>
      <c r="AE10" s="108"/>
      <c r="AF10" s="108" t="n">
        <f aca="false">+AE10-AD10</f>
        <v>0</v>
      </c>
      <c r="AI10" s="108" t="n">
        <f aca="false">+AH10-AG10</f>
        <v>0</v>
      </c>
      <c r="AJ10" s="108"/>
      <c r="AK10" s="108"/>
      <c r="AL10" s="108" t="n">
        <f aca="false">+AK10-AJ10</f>
        <v>0</v>
      </c>
      <c r="AM10" s="120" t="n">
        <f aca="false">+AA10-AG10</f>
        <v>7601093</v>
      </c>
      <c r="AN10" s="120" t="n">
        <f aca="false">+AB10-AH10</f>
        <v>7546494</v>
      </c>
      <c r="AO10" s="108" t="n">
        <f aca="false">+AD10-AJ10</f>
        <v>0</v>
      </c>
      <c r="AP10" s="108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7" t="n">
        <v>7</v>
      </c>
      <c r="B11" s="108"/>
      <c r="C11" s="108"/>
      <c r="D11" s="108" t="n">
        <f aca="false">-249479-750</f>
        <v>-250229</v>
      </c>
      <c r="E11" s="108" t="n">
        <v>-254013</v>
      </c>
      <c r="F11" s="108"/>
      <c r="G11" s="108"/>
      <c r="H11" s="108" t="n">
        <f aca="false">+E11-D11+C11-B11</f>
        <v>-3784</v>
      </c>
      <c r="I11" s="113"/>
      <c r="L11" s="195"/>
      <c r="M11" s="113"/>
      <c r="N11" s="116"/>
      <c r="O11" s="115"/>
      <c r="P11" s="63"/>
      <c r="Q11" s="79"/>
      <c r="R11" s="110"/>
      <c r="T11" s="112"/>
      <c r="U11" s="113"/>
      <c r="V11" s="113"/>
      <c r="W11" s="113"/>
      <c r="X11" s="113"/>
      <c r="Y11" s="113"/>
      <c r="Z11" s="123" t="n">
        <v>35096</v>
      </c>
      <c r="AA11" s="108" t="n">
        <v>8861952</v>
      </c>
      <c r="AB11" s="108" t="n">
        <v>8793151</v>
      </c>
      <c r="AC11" s="108" t="n">
        <f aca="false">+AB11-AA11</f>
        <v>-68801</v>
      </c>
      <c r="AD11" s="108"/>
      <c r="AE11" s="108"/>
      <c r="AF11" s="108" t="n">
        <f aca="false">+AE11-AD11</f>
        <v>0</v>
      </c>
      <c r="AI11" s="108" t="n">
        <f aca="false">+AH11-AG11</f>
        <v>0</v>
      </c>
      <c r="AJ11" s="108"/>
      <c r="AK11" s="108"/>
      <c r="AL11" s="108" t="n">
        <f aca="false">+AK11-AJ11</f>
        <v>0</v>
      </c>
      <c r="AM11" s="120" t="n">
        <f aca="false">+AA11-AG11</f>
        <v>8861952</v>
      </c>
      <c r="AN11" s="120" t="n">
        <f aca="false">+AB11-AH11</f>
        <v>8793151</v>
      </c>
      <c r="AO11" s="108" t="n">
        <f aca="false">+AD11-AJ11</f>
        <v>0</v>
      </c>
      <c r="AP11" s="108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7" t="n">
        <v>8</v>
      </c>
      <c r="B12" s="108"/>
      <c r="C12" s="108"/>
      <c r="D12" s="108" t="n">
        <f aca="false">-272276-750</f>
        <v>-273026</v>
      </c>
      <c r="E12" s="108" t="n">
        <v>-274969</v>
      </c>
      <c r="F12" s="108"/>
      <c r="G12" s="108"/>
      <c r="H12" s="108" t="n">
        <f aca="false">+E12-D12+C12-B12</f>
        <v>-1943</v>
      </c>
      <c r="I12" s="113"/>
      <c r="L12" s="195"/>
      <c r="M12" s="113"/>
      <c r="N12" s="116"/>
      <c r="O12" s="115"/>
      <c r="P12" s="63"/>
      <c r="Q12" s="79"/>
      <c r="R12" s="110"/>
      <c r="T12" s="112"/>
      <c r="U12" s="113"/>
      <c r="V12" s="113"/>
      <c r="W12" s="113"/>
      <c r="X12" s="113"/>
      <c r="Y12" s="113"/>
      <c r="Z12" s="123" t="n">
        <v>35125</v>
      </c>
      <c r="AA12" s="108" t="n">
        <v>9536036</v>
      </c>
      <c r="AB12" s="108" t="n">
        <v>9424354</v>
      </c>
      <c r="AC12" s="108" t="n">
        <f aca="false">+AB12-AA12</f>
        <v>-111682</v>
      </c>
      <c r="AD12" s="108"/>
      <c r="AE12" s="108"/>
      <c r="AF12" s="108" t="n">
        <f aca="false">+AE12-AD12</f>
        <v>0</v>
      </c>
      <c r="AI12" s="108" t="n">
        <f aca="false">+AH12-AG12</f>
        <v>0</v>
      </c>
      <c r="AJ12" s="108"/>
      <c r="AK12" s="108"/>
      <c r="AL12" s="108" t="n">
        <f aca="false">+AK12-AJ12</f>
        <v>0</v>
      </c>
      <c r="AM12" s="120" t="n">
        <f aca="false">+AA12-AG12</f>
        <v>9536036</v>
      </c>
      <c r="AN12" s="120" t="n">
        <f aca="false">+AB12-AH12</f>
        <v>9424354</v>
      </c>
      <c r="AO12" s="108" t="n">
        <f aca="false">+AD12-AJ12</f>
        <v>0</v>
      </c>
      <c r="AP12" s="108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7" t="n">
        <v>9</v>
      </c>
      <c r="B13" s="108"/>
      <c r="C13" s="108"/>
      <c r="D13" s="108" t="n">
        <f aca="false">-266075-750</f>
        <v>-266825</v>
      </c>
      <c r="E13" s="108" t="n">
        <v>-268577</v>
      </c>
      <c r="F13" s="108"/>
      <c r="G13" s="108"/>
      <c r="H13" s="108" t="n">
        <f aca="false">+E13-D13+C13-B13</f>
        <v>-1752</v>
      </c>
      <c r="I13" s="113"/>
      <c r="L13" s="195"/>
      <c r="M13" s="113"/>
      <c r="N13" s="116"/>
      <c r="O13" s="115"/>
      <c r="P13" s="63"/>
      <c r="Q13" s="79"/>
      <c r="R13" s="110"/>
      <c r="T13" s="112"/>
      <c r="U13" s="113"/>
      <c r="V13" s="113"/>
      <c r="W13" s="113"/>
      <c r="X13" s="113"/>
      <c r="Y13" s="113"/>
      <c r="Z13" s="123" t="n">
        <v>35156</v>
      </c>
      <c r="AA13" s="108" t="n">
        <v>8208752</v>
      </c>
      <c r="AB13" s="108" t="n">
        <v>8202500</v>
      </c>
      <c r="AC13" s="108" t="n">
        <f aca="false">+AB13-AA13</f>
        <v>-6252</v>
      </c>
      <c r="AD13" s="108"/>
      <c r="AE13" s="108"/>
      <c r="AF13" s="108" t="n">
        <f aca="false">+AE13-AD13</f>
        <v>0</v>
      </c>
      <c r="AI13" s="108" t="n">
        <f aca="false">+AH13-AG13</f>
        <v>0</v>
      </c>
      <c r="AJ13" s="108"/>
      <c r="AK13" s="108"/>
      <c r="AL13" s="108" t="n">
        <f aca="false">+AK13-AJ13</f>
        <v>0</v>
      </c>
      <c r="AM13" s="120" t="n">
        <f aca="false">+AA13-AG13</f>
        <v>8208752</v>
      </c>
      <c r="AN13" s="120" t="n">
        <f aca="false">+AB13-AH13</f>
        <v>8202500</v>
      </c>
      <c r="AO13" s="108" t="n">
        <f aca="false">+AD13-AJ13</f>
        <v>0</v>
      </c>
      <c r="AP13" s="108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7" t="n">
        <v>10</v>
      </c>
      <c r="B14" s="108"/>
      <c r="C14" s="108"/>
      <c r="D14" s="108" t="n">
        <f aca="false">-278307-750</f>
        <v>-279057</v>
      </c>
      <c r="E14" s="108" t="n">
        <v>-283415</v>
      </c>
      <c r="F14" s="108"/>
      <c r="G14" s="108"/>
      <c r="H14" s="108" t="n">
        <f aca="false">+E14-D14+C14-B14</f>
        <v>-4358</v>
      </c>
      <c r="I14" s="113"/>
      <c r="L14" s="195"/>
      <c r="M14" s="113"/>
      <c r="N14" s="116"/>
      <c r="O14" s="115"/>
      <c r="P14" s="63"/>
      <c r="Q14" s="79"/>
      <c r="R14" s="110"/>
      <c r="T14" s="112"/>
      <c r="U14" s="113"/>
      <c r="V14" s="113"/>
      <c r="W14" s="113"/>
      <c r="X14" s="113"/>
      <c r="Y14" s="113"/>
      <c r="Z14" s="123" t="n">
        <v>35186</v>
      </c>
      <c r="AA14" s="108" t="n">
        <v>8423604</v>
      </c>
      <c r="AB14" s="108" t="n">
        <v>8500472</v>
      </c>
      <c r="AC14" s="108" t="n">
        <f aca="false">+AB14-AA14</f>
        <v>76868</v>
      </c>
      <c r="AD14" s="108"/>
      <c r="AE14" s="108"/>
      <c r="AF14" s="108" t="n">
        <f aca="false">+AE14-AD14</f>
        <v>0</v>
      </c>
      <c r="AI14" s="108" t="n">
        <f aca="false">+AH14-AG14</f>
        <v>0</v>
      </c>
      <c r="AJ14" s="108"/>
      <c r="AK14" s="108"/>
      <c r="AL14" s="108" t="n">
        <f aca="false">+AK14-AJ14</f>
        <v>0</v>
      </c>
      <c r="AM14" s="120" t="n">
        <f aca="false">+AA14-AG14</f>
        <v>8423604</v>
      </c>
      <c r="AN14" s="120" t="n">
        <f aca="false">+AB14-AH14</f>
        <v>8500472</v>
      </c>
      <c r="AO14" s="108" t="n">
        <f aca="false">+AD14-AJ14</f>
        <v>0</v>
      </c>
      <c r="AP14" s="108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7" t="n">
        <v>11</v>
      </c>
      <c r="B15" s="108"/>
      <c r="C15" s="108"/>
      <c r="D15" s="108" t="n">
        <f aca="false">-287669-750</f>
        <v>-288419</v>
      </c>
      <c r="E15" s="108" t="n">
        <v>-288213</v>
      </c>
      <c r="F15" s="108"/>
      <c r="G15" s="108"/>
      <c r="H15" s="108" t="n">
        <f aca="false">+E15-D15+C15-B15</f>
        <v>206</v>
      </c>
      <c r="I15" s="113"/>
      <c r="L15" s="195"/>
      <c r="M15" s="113"/>
      <c r="N15" s="116"/>
      <c r="O15" s="115"/>
      <c r="P15" s="63"/>
      <c r="Q15" s="79"/>
      <c r="R15" s="110"/>
      <c r="T15" s="112"/>
      <c r="U15" s="113"/>
      <c r="V15" s="113"/>
      <c r="W15" s="113"/>
      <c r="X15" s="113"/>
      <c r="Y15" s="113"/>
      <c r="Z15" s="123" t="n">
        <v>35217</v>
      </c>
      <c r="AA15" s="108" t="n">
        <v>7598497</v>
      </c>
      <c r="AB15" s="108" t="n">
        <v>7806724</v>
      </c>
      <c r="AC15" s="108" t="n">
        <f aca="false">+AB15-AA15</f>
        <v>208227</v>
      </c>
      <c r="AD15" s="108"/>
      <c r="AE15" s="108"/>
      <c r="AF15" s="108" t="n">
        <f aca="false">+AE15-AD15</f>
        <v>0</v>
      </c>
      <c r="AI15" s="108" t="n">
        <f aca="false">+AH15-AG15</f>
        <v>0</v>
      </c>
      <c r="AJ15" s="108"/>
      <c r="AK15" s="108"/>
      <c r="AL15" s="108" t="n">
        <f aca="false">+AK15-AJ15</f>
        <v>0</v>
      </c>
      <c r="AM15" s="120" t="n">
        <f aca="false">+AA15-AG15</f>
        <v>7598497</v>
      </c>
      <c r="AN15" s="120" t="n">
        <f aca="false">+AB15-AH15</f>
        <v>7806724</v>
      </c>
      <c r="AO15" s="108" t="n">
        <f aca="false">+AD15-AJ15</f>
        <v>0</v>
      </c>
      <c r="AP15" s="108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7" t="n">
        <v>12</v>
      </c>
      <c r="B16" s="108"/>
      <c r="C16" s="108"/>
      <c r="D16" s="108" t="n">
        <f aca="false">-273937-750</f>
        <v>-274687</v>
      </c>
      <c r="E16" s="108" t="n">
        <v>-275351</v>
      </c>
      <c r="F16" s="108"/>
      <c r="G16" s="108"/>
      <c r="H16" s="108" t="n">
        <f aca="false">+E16-D16+C16-B16</f>
        <v>-664</v>
      </c>
      <c r="I16" s="113"/>
      <c r="L16" s="195"/>
      <c r="M16" s="113"/>
      <c r="N16" s="116"/>
      <c r="O16" s="115"/>
      <c r="P16" s="63"/>
      <c r="Q16" s="79"/>
      <c r="R16" s="110"/>
      <c r="T16" s="112"/>
      <c r="U16" s="113"/>
      <c r="Y16" s="113"/>
      <c r="Z16" s="123" t="n">
        <v>35247</v>
      </c>
      <c r="AA16" s="108" t="n">
        <f aca="false">10183197-10183197+10173543</f>
        <v>10173543</v>
      </c>
      <c r="AB16" s="108" t="n">
        <v>10254986</v>
      </c>
      <c r="AC16" s="108" t="n">
        <f aca="false">+AB16-AA16</f>
        <v>81443</v>
      </c>
      <c r="AD16" s="108"/>
      <c r="AE16" s="108"/>
      <c r="AF16" s="108" t="n">
        <f aca="false">+AE16-AD16</f>
        <v>0</v>
      </c>
      <c r="AI16" s="108" t="n">
        <f aca="false">+AH16-AG16</f>
        <v>0</v>
      </c>
      <c r="AJ16" s="108"/>
      <c r="AK16" s="108"/>
      <c r="AL16" s="108" t="n">
        <f aca="false">+AK16-AJ16</f>
        <v>0</v>
      </c>
      <c r="AM16" s="120" t="n">
        <f aca="false">+AA16-AG16</f>
        <v>10173543</v>
      </c>
      <c r="AN16" s="120" t="n">
        <f aca="false">+AB16-AH16</f>
        <v>10254986</v>
      </c>
      <c r="AO16" s="108" t="n">
        <f aca="false">+AD16-AJ16</f>
        <v>0</v>
      </c>
      <c r="AP16" s="108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7" t="n">
        <v>13</v>
      </c>
      <c r="B17" s="108"/>
      <c r="C17" s="108"/>
      <c r="D17" s="108" t="n">
        <f aca="false">-286926-750</f>
        <v>-287676</v>
      </c>
      <c r="E17" s="108" t="n">
        <v>-288307</v>
      </c>
      <c r="F17" s="108"/>
      <c r="G17" s="108"/>
      <c r="H17" s="108" t="n">
        <f aca="false">+E17-D17+C17-B17</f>
        <v>-631</v>
      </c>
      <c r="I17" s="113"/>
      <c r="M17" s="113"/>
      <c r="N17" s="114"/>
      <c r="O17" s="115"/>
      <c r="P17" s="63"/>
      <c r="Q17" s="79"/>
      <c r="R17" s="110"/>
      <c r="T17" s="112"/>
      <c r="U17" s="113"/>
      <c r="Y17" s="113"/>
      <c r="Z17" s="123" t="n">
        <v>35278</v>
      </c>
      <c r="AA17" s="108" t="n">
        <v>7746025</v>
      </c>
      <c r="AB17" s="108" t="n">
        <v>7834754</v>
      </c>
      <c r="AC17" s="108" t="n">
        <f aca="false">+AB17-AA17</f>
        <v>88729</v>
      </c>
      <c r="AD17" s="108"/>
      <c r="AE17" s="108"/>
      <c r="AF17" s="108" t="n">
        <f aca="false">+AE17-AD17</f>
        <v>0</v>
      </c>
      <c r="AI17" s="108" t="n">
        <f aca="false">+AH17-AG17</f>
        <v>0</v>
      </c>
      <c r="AJ17" s="108"/>
      <c r="AK17" s="108"/>
      <c r="AL17" s="108" t="n">
        <f aca="false">+AK17-AJ17</f>
        <v>0</v>
      </c>
      <c r="AM17" s="120" t="n">
        <f aca="false">+AA17-AG17</f>
        <v>7746025</v>
      </c>
      <c r="AN17" s="120" t="n">
        <f aca="false">+AB17-AH17</f>
        <v>7834754</v>
      </c>
      <c r="AO17" s="108" t="n">
        <f aca="false">+AD17-AJ17</f>
        <v>0</v>
      </c>
      <c r="AP17" s="108" t="n">
        <f aca="false">+AE17-AK17</f>
        <v>0</v>
      </c>
    </row>
    <row r="18" customFormat="false" ht="12.75" hidden="false" customHeight="false" outlineLevel="0" collapsed="false">
      <c r="A18" s="107" t="n">
        <v>14</v>
      </c>
      <c r="B18" s="108"/>
      <c r="C18" s="108"/>
      <c r="D18" s="108" t="n">
        <f aca="false">-240327-500-500</f>
        <v>-241327</v>
      </c>
      <c r="E18" s="108" t="n">
        <v>-241208</v>
      </c>
      <c r="F18" s="108"/>
      <c r="G18" s="108"/>
      <c r="H18" s="108" t="n">
        <f aca="false">+E18-D18+C18-B18</f>
        <v>119</v>
      </c>
      <c r="I18" s="113"/>
      <c r="M18" s="113"/>
      <c r="N18" s="114"/>
      <c r="O18" s="115"/>
      <c r="P18" s="63"/>
      <c r="Q18" s="79"/>
      <c r="R18" s="110"/>
      <c r="T18" s="112"/>
      <c r="U18" s="113"/>
      <c r="Y18" s="113"/>
      <c r="Z18" s="123" t="n">
        <v>35309</v>
      </c>
      <c r="AA18" s="108" t="n">
        <v>9105752</v>
      </c>
      <c r="AB18" s="108" t="n">
        <v>9112349</v>
      </c>
      <c r="AC18" s="108" t="n">
        <f aca="false">+AB18-AA18</f>
        <v>6597</v>
      </c>
      <c r="AD18" s="108" t="n">
        <v>10832884</v>
      </c>
      <c r="AE18" s="108" t="n">
        <v>10607196</v>
      </c>
      <c r="AF18" s="108" t="n">
        <f aca="false">+AE18-AD18</f>
        <v>-225688</v>
      </c>
      <c r="AI18" s="108" t="n">
        <f aca="false">+AH18-AG18</f>
        <v>0</v>
      </c>
      <c r="AJ18" s="108"/>
      <c r="AK18" s="108"/>
      <c r="AL18" s="108" t="n">
        <f aca="false">+AK18-AJ18</f>
        <v>0</v>
      </c>
      <c r="AM18" s="120" t="n">
        <f aca="false">+AA18-AG18</f>
        <v>9105752</v>
      </c>
      <c r="AN18" s="120" t="n">
        <f aca="false">+AB18-AH18</f>
        <v>9112349</v>
      </c>
      <c r="AO18" s="108" t="n">
        <f aca="false">+AD18-AJ18</f>
        <v>10832884</v>
      </c>
      <c r="AP18" s="108" t="n">
        <f aca="false">+AE18-AK18</f>
        <v>10607196</v>
      </c>
    </row>
    <row r="19" customFormat="false" ht="12.75" hidden="false" customHeight="false" outlineLevel="0" collapsed="false">
      <c r="A19" s="107" t="n">
        <v>15</v>
      </c>
      <c r="B19" s="108"/>
      <c r="C19" s="108"/>
      <c r="D19" s="108" t="n">
        <f aca="false">-274050-500-500</f>
        <v>-275050</v>
      </c>
      <c r="E19" s="108" t="n">
        <v>-274559</v>
      </c>
      <c r="F19" s="108"/>
      <c r="G19" s="108"/>
      <c r="H19" s="108" t="n">
        <f aca="false">+E19-D19+C19-B19</f>
        <v>491</v>
      </c>
      <c r="I19" s="137"/>
      <c r="T19" s="112"/>
      <c r="U19" s="113"/>
      <c r="Y19" s="113"/>
      <c r="Z19" s="123" t="n">
        <v>35339</v>
      </c>
      <c r="AA19" s="108" t="n">
        <v>7449663</v>
      </c>
      <c r="AB19" s="108" t="n">
        <v>7543658</v>
      </c>
      <c r="AC19" s="108" t="n">
        <f aca="false">+AB19-AA19</f>
        <v>93995</v>
      </c>
      <c r="AD19" s="108" t="n">
        <v>8947165</v>
      </c>
      <c r="AE19" s="108" t="n">
        <v>8872112</v>
      </c>
      <c r="AF19" s="108" t="n">
        <f aca="false">+AE19-AD19</f>
        <v>-75053</v>
      </c>
      <c r="AI19" s="108" t="n">
        <f aca="false">+AH19-AG19</f>
        <v>0</v>
      </c>
      <c r="AJ19" s="108"/>
      <c r="AK19" s="108"/>
      <c r="AL19" s="108" t="n">
        <f aca="false">+AK19-AJ19</f>
        <v>0</v>
      </c>
      <c r="AM19" s="120" t="n">
        <f aca="false">+AA19-AG19</f>
        <v>7449663</v>
      </c>
      <c r="AN19" s="120" t="n">
        <f aca="false">+AB19-AH19</f>
        <v>7543658</v>
      </c>
      <c r="AO19" s="108" t="n">
        <f aca="false">+AD19-AJ19</f>
        <v>8947165</v>
      </c>
      <c r="AP19" s="108" t="n">
        <f aca="false">+AE19-AK19</f>
        <v>8872112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 t="n">
        <f aca="false">-302256-500-500</f>
        <v>-303256</v>
      </c>
      <c r="E20" s="108" t="n">
        <v>-310176</v>
      </c>
      <c r="F20" s="108"/>
      <c r="G20" s="108"/>
      <c r="H20" s="108" t="n">
        <f aca="false">+E20-D20+C20-B20</f>
        <v>-6920</v>
      </c>
      <c r="T20" s="112"/>
      <c r="U20" s="108"/>
      <c r="Y20" s="113"/>
      <c r="Z20" s="123" t="n">
        <v>35370</v>
      </c>
      <c r="AA20" s="108" t="n">
        <v>2608198</v>
      </c>
      <c r="AB20" s="108" t="n">
        <v>2603340</v>
      </c>
      <c r="AC20" s="108" t="n">
        <f aca="false">+AB20-AA20</f>
        <v>-4858</v>
      </c>
      <c r="AD20" s="108" t="n">
        <v>9086350</v>
      </c>
      <c r="AE20" s="108" t="n">
        <f aca="false">8929716-8929716+9021175</f>
        <v>9021175</v>
      </c>
      <c r="AF20" s="108" t="n">
        <f aca="false">+AE20-AD20</f>
        <v>-65175</v>
      </c>
      <c r="AI20" s="108" t="n">
        <f aca="false">+AH20-AG20</f>
        <v>0</v>
      </c>
      <c r="AJ20" s="108"/>
      <c r="AK20" s="108"/>
      <c r="AL20" s="108" t="n">
        <f aca="false">+AK20-AJ20</f>
        <v>0</v>
      </c>
      <c r="AM20" s="120" t="n">
        <f aca="false">+AA20-AG20</f>
        <v>2608198</v>
      </c>
      <c r="AN20" s="120" t="n">
        <f aca="false">+AB20-AH20</f>
        <v>2603340</v>
      </c>
      <c r="AO20" s="108" t="n">
        <f aca="false">+AD20-AJ20</f>
        <v>9086350</v>
      </c>
      <c r="AP20" s="108" t="n">
        <f aca="false">+AE20-AK20</f>
        <v>9021175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 t="n">
        <f aca="false">-290427-500-500</f>
        <v>-291427</v>
      </c>
      <c r="E21" s="108" t="n">
        <v>-283120</v>
      </c>
      <c r="F21" s="108"/>
      <c r="G21" s="108"/>
      <c r="H21" s="108" t="n">
        <f aca="false">+E21-D21+C21-B21</f>
        <v>8307</v>
      </c>
      <c r="I21" s="113"/>
      <c r="J21" s="113"/>
      <c r="K21" s="113"/>
      <c r="L21" s="113"/>
      <c r="M21" s="113"/>
      <c r="N21" s="116"/>
      <c r="O21" s="115"/>
      <c r="P21" s="63"/>
      <c r="Q21" s="79"/>
      <c r="R21" s="110"/>
      <c r="T21" s="112"/>
      <c r="U21" s="108"/>
      <c r="Y21" s="113"/>
      <c r="Z21" s="123" t="n">
        <v>35400</v>
      </c>
      <c r="AA21" s="108" t="n">
        <v>666062</v>
      </c>
      <c r="AB21" s="108" t="n">
        <v>548699</v>
      </c>
      <c r="AC21" s="108" t="n">
        <f aca="false">+AB21-AA21</f>
        <v>-117363</v>
      </c>
      <c r="AD21" s="108" t="n">
        <v>6462881</v>
      </c>
      <c r="AE21" s="108" t="n">
        <v>6563264</v>
      </c>
      <c r="AF21" s="108" t="n">
        <f aca="false">+AE21-AD21</f>
        <v>100383</v>
      </c>
      <c r="AI21" s="108" t="n">
        <f aca="false">+AH21-AG21</f>
        <v>0</v>
      </c>
      <c r="AJ21" s="108"/>
      <c r="AK21" s="108"/>
      <c r="AL21" s="108" t="n">
        <f aca="false">+AK21-AJ21</f>
        <v>0</v>
      </c>
      <c r="AM21" s="120" t="n">
        <f aca="false">+AA21-AG21</f>
        <v>666062</v>
      </c>
      <c r="AN21" s="120" t="n">
        <f aca="false">+AB21-AH21</f>
        <v>548699</v>
      </c>
      <c r="AO21" s="108" t="n">
        <f aca="false">+AD21-AJ21</f>
        <v>6462881</v>
      </c>
      <c r="AP21" s="108" t="n">
        <f aca="false">+AE21-AK21</f>
        <v>6563264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 t="n">
        <f aca="false">-297326-500-500</f>
        <v>-298326</v>
      </c>
      <c r="E22" s="108" t="n">
        <v>-310274</v>
      </c>
      <c r="F22" s="108"/>
      <c r="G22" s="108"/>
      <c r="H22" s="108" t="n">
        <f aca="false">+E22-D22+C22-B22</f>
        <v>-11948</v>
      </c>
      <c r="I22" s="113"/>
      <c r="J22" s="113"/>
      <c r="K22" s="113"/>
      <c r="L22" s="113"/>
      <c r="M22" s="113"/>
      <c r="N22" s="116"/>
      <c r="O22" s="115"/>
      <c r="P22" s="63"/>
      <c r="Q22" s="79"/>
      <c r="R22" s="110"/>
      <c r="Z22" s="123" t="n">
        <v>35431</v>
      </c>
      <c r="AA22" s="108" t="n">
        <v>1316276</v>
      </c>
      <c r="AB22" s="108" t="n">
        <v>1066952</v>
      </c>
      <c r="AC22" s="108" t="n">
        <f aca="false">+AB22-AA22</f>
        <v>-249324</v>
      </c>
      <c r="AD22" s="108" t="n">
        <v>5844267</v>
      </c>
      <c r="AE22" s="108" t="n">
        <v>6103467</v>
      </c>
      <c r="AF22" s="108" t="n">
        <f aca="false">+AE22-AD22</f>
        <v>259200</v>
      </c>
      <c r="AI22" s="108" t="n">
        <f aca="false">+AH22-AG22</f>
        <v>0</v>
      </c>
      <c r="AJ22" s="108"/>
      <c r="AK22" s="108"/>
      <c r="AL22" s="108" t="n">
        <f aca="false">+AK22-AJ22</f>
        <v>0</v>
      </c>
      <c r="AM22" s="120" t="n">
        <f aca="false">+AA22-AG22</f>
        <v>1316276</v>
      </c>
      <c r="AN22" s="120" t="n">
        <f aca="false">+AB22-AH22</f>
        <v>1066952</v>
      </c>
      <c r="AO22" s="108" t="n">
        <f aca="false">+AD22-AJ22</f>
        <v>5844267</v>
      </c>
      <c r="AP22" s="108" t="n">
        <f aca="false">+AE22-AK22</f>
        <v>6103467</v>
      </c>
    </row>
    <row r="23" customFormat="false" ht="12.75" hidden="false" customHeight="false" outlineLevel="0" collapsed="false">
      <c r="A23" s="107" t="n">
        <v>19</v>
      </c>
      <c r="B23" s="108"/>
      <c r="C23" s="108"/>
      <c r="D23" s="108" t="n">
        <f aca="false">-275043-750-250</f>
        <v>-276043</v>
      </c>
      <c r="E23" s="108" t="n">
        <v>-306032</v>
      </c>
      <c r="F23" s="108"/>
      <c r="G23" s="108"/>
      <c r="H23" s="108" t="n">
        <f aca="false">+E23-D23+C23-B23</f>
        <v>-29989</v>
      </c>
      <c r="I23" s="113"/>
      <c r="J23" s="113"/>
      <c r="K23" s="113"/>
      <c r="L23" s="113"/>
      <c r="M23" s="113"/>
      <c r="N23" s="116"/>
      <c r="O23" s="115"/>
      <c r="P23" s="63"/>
      <c r="Q23" s="79"/>
      <c r="R23" s="110"/>
      <c r="Z23" s="123" t="n">
        <v>35462</v>
      </c>
      <c r="AA23" s="108" t="n">
        <v>1305206</v>
      </c>
      <c r="AB23" s="108" t="n">
        <v>1362628</v>
      </c>
      <c r="AC23" s="108" t="n">
        <f aca="false">+AB23-AA23</f>
        <v>57422</v>
      </c>
      <c r="AD23" s="108" t="n">
        <v>5171924</v>
      </c>
      <c r="AE23" s="108" t="n">
        <v>5152958</v>
      </c>
      <c r="AF23" s="108" t="n">
        <f aca="false">+AE23-AD23</f>
        <v>-18966</v>
      </c>
      <c r="AI23" s="108" t="n">
        <f aca="false">+AH23-AG23</f>
        <v>0</v>
      </c>
      <c r="AJ23" s="108"/>
      <c r="AK23" s="108"/>
      <c r="AL23" s="108" t="n">
        <f aca="false">+AK23-AJ23</f>
        <v>0</v>
      </c>
      <c r="AM23" s="120" t="n">
        <f aca="false">+AA23-AG23</f>
        <v>1305206</v>
      </c>
      <c r="AN23" s="120" t="n">
        <f aca="false">+AB23-AH23</f>
        <v>1362628</v>
      </c>
      <c r="AO23" s="108" t="n">
        <f aca="false">+AD23-AJ23</f>
        <v>5171924</v>
      </c>
      <c r="AP23" s="108" t="n">
        <f aca="false">+AE23-AK23</f>
        <v>5152958</v>
      </c>
    </row>
    <row r="24" customFormat="false" ht="12.75" hidden="false" customHeight="false" outlineLevel="0" collapsed="false">
      <c r="A24" s="107" t="n">
        <v>20</v>
      </c>
      <c r="B24" s="108"/>
      <c r="C24" s="108"/>
      <c r="D24" s="108" t="n">
        <f aca="false">-301972-750-250</f>
        <v>-302972</v>
      </c>
      <c r="E24" s="108" t="n">
        <v>-325596</v>
      </c>
      <c r="F24" s="108"/>
      <c r="G24" s="108"/>
      <c r="H24" s="108" t="n">
        <f aca="false">+E24-D24+C24-B24</f>
        <v>-22624</v>
      </c>
      <c r="I24" s="113"/>
      <c r="J24" s="113"/>
      <c r="K24" s="113"/>
      <c r="L24" s="113"/>
      <c r="M24" s="113"/>
      <c r="N24" s="116"/>
      <c r="O24" s="115"/>
      <c r="P24" s="63"/>
      <c r="Q24" s="79"/>
      <c r="R24" s="110"/>
      <c r="Z24" s="196" t="n">
        <v>35490</v>
      </c>
      <c r="AA24" s="108" t="n">
        <v>4190968</v>
      </c>
      <c r="AB24" s="108" t="n">
        <v>4193574</v>
      </c>
      <c r="AC24" s="108" t="n">
        <f aca="false">+AB24-AA24</f>
        <v>2606</v>
      </c>
      <c r="AD24" s="108" t="n">
        <v>6561424</v>
      </c>
      <c r="AE24" s="108" t="n">
        <v>6546612</v>
      </c>
      <c r="AF24" s="108" t="n">
        <f aca="false">+AE24-AD24</f>
        <v>-14812</v>
      </c>
      <c r="AI24" s="108" t="n">
        <f aca="false">+AH24-AG24</f>
        <v>0</v>
      </c>
      <c r="AJ24" s="108"/>
      <c r="AK24" s="108"/>
      <c r="AL24" s="108" t="n">
        <f aca="false">+AK24-AJ24</f>
        <v>0</v>
      </c>
      <c r="AM24" s="120" t="n">
        <f aca="false">+AA24-AG24</f>
        <v>4190968</v>
      </c>
      <c r="AN24" s="120" t="n">
        <f aca="false">+AB24-AH24</f>
        <v>4193574</v>
      </c>
      <c r="AO24" s="108" t="n">
        <f aca="false">+AD24-AJ24</f>
        <v>6561424</v>
      </c>
      <c r="AP24" s="108" t="n">
        <f aca="false">+AE24-AK24</f>
        <v>6546612</v>
      </c>
    </row>
    <row r="25" customFormat="false" ht="12.75" hidden="false" customHeight="false" outlineLevel="0" collapsed="false">
      <c r="A25" s="107" t="n">
        <v>21</v>
      </c>
      <c r="B25" s="108"/>
      <c r="C25" s="108"/>
      <c r="D25" s="108" t="n">
        <f aca="false">-313689-750</f>
        <v>-314439</v>
      </c>
      <c r="E25" s="108" t="n">
        <v>-296501</v>
      </c>
      <c r="F25" s="108"/>
      <c r="G25" s="108"/>
      <c r="H25" s="108" t="n">
        <f aca="false">+E25-D25+C25-B25</f>
        <v>17938</v>
      </c>
      <c r="I25" s="113"/>
      <c r="J25" s="113"/>
      <c r="K25" s="113"/>
      <c r="L25" s="113"/>
      <c r="M25" s="113"/>
      <c r="N25" s="116"/>
      <c r="O25" s="115"/>
      <c r="P25" s="63"/>
      <c r="Q25" s="79"/>
      <c r="R25" s="110"/>
      <c r="Z25" s="196" t="n">
        <v>35521</v>
      </c>
      <c r="AA25" s="108" t="n">
        <v>3115956</v>
      </c>
      <c r="AB25" s="108" t="n">
        <v>3021896</v>
      </c>
      <c r="AC25" s="108" t="n">
        <f aca="false">+AB25-AA25</f>
        <v>-94060</v>
      </c>
      <c r="AD25" s="108" t="n">
        <v>4700126</v>
      </c>
      <c r="AE25" s="108" t="n">
        <v>4743014</v>
      </c>
      <c r="AF25" s="108" t="n">
        <f aca="false">+AE25-AD25</f>
        <v>42888</v>
      </c>
      <c r="AI25" s="108" t="n">
        <f aca="false">+AH25-AG25</f>
        <v>0</v>
      </c>
      <c r="AJ25" s="108"/>
      <c r="AK25" s="108"/>
      <c r="AL25" s="108" t="n">
        <f aca="false">+AK25-AJ25</f>
        <v>0</v>
      </c>
      <c r="AM25" s="120" t="n">
        <f aca="false">+AA25-AG25</f>
        <v>3115956</v>
      </c>
      <c r="AN25" s="120" t="n">
        <f aca="false">+AB25-AH25</f>
        <v>3021896</v>
      </c>
      <c r="AO25" s="108" t="n">
        <f aca="false">+AD25-AJ25</f>
        <v>4700126</v>
      </c>
      <c r="AP25" s="108" t="n">
        <f aca="false">+AE25-AK25</f>
        <v>4743014</v>
      </c>
    </row>
    <row r="26" customFormat="false" ht="12.75" hidden="false" customHeight="false" outlineLevel="0" collapsed="false">
      <c r="A26" s="107" t="n">
        <v>22</v>
      </c>
      <c r="B26" s="108" t="n">
        <v>113</v>
      </c>
      <c r="C26" s="108"/>
      <c r="D26" s="108" t="n">
        <f aca="false">-323768-750</f>
        <v>-324518</v>
      </c>
      <c r="E26" s="108" t="n">
        <v>-331407</v>
      </c>
      <c r="F26" s="108"/>
      <c r="G26" s="108"/>
      <c r="H26" s="108" t="n">
        <f aca="false">+E26-D26+C26-B26</f>
        <v>-7002</v>
      </c>
      <c r="I26" s="113"/>
      <c r="J26" s="113"/>
      <c r="K26" s="113"/>
      <c r="L26" s="113"/>
      <c r="M26" s="113"/>
      <c r="N26" s="116"/>
      <c r="O26" s="115"/>
      <c r="P26" s="63"/>
      <c r="Q26" s="79"/>
      <c r="R26" s="110"/>
      <c r="Z26" s="123" t="n">
        <v>35551</v>
      </c>
      <c r="AA26" s="108" t="n">
        <v>2078173</v>
      </c>
      <c r="AB26" s="108" t="n">
        <v>2081843</v>
      </c>
      <c r="AC26" s="108" t="n">
        <f aca="false">+AB26-AA26</f>
        <v>3670</v>
      </c>
      <c r="AD26" s="108" t="n">
        <v>5363804</v>
      </c>
      <c r="AE26" s="108" t="n">
        <v>5354710</v>
      </c>
      <c r="AF26" s="108" t="n">
        <f aca="false">+AE26-AD26</f>
        <v>-9094</v>
      </c>
      <c r="AI26" s="108" t="n">
        <f aca="false">+AH26-AG26</f>
        <v>0</v>
      </c>
      <c r="AJ26" s="108"/>
      <c r="AK26" s="108"/>
      <c r="AL26" s="108" t="n">
        <f aca="false">+AK26-AJ26</f>
        <v>0</v>
      </c>
      <c r="AM26" s="120" t="n">
        <f aca="false">+AA26-AG26</f>
        <v>2078173</v>
      </c>
      <c r="AN26" s="120" t="n">
        <f aca="false">+AB26-AH26</f>
        <v>2081843</v>
      </c>
      <c r="AO26" s="108" t="n">
        <f aca="false">+AD26-AJ26</f>
        <v>5363804</v>
      </c>
      <c r="AP26" s="108" t="n">
        <f aca="false">+AE26-AK26</f>
        <v>5354710</v>
      </c>
    </row>
    <row r="27" customFormat="false" ht="12.75" hidden="false" customHeight="false" outlineLevel="0" collapsed="false">
      <c r="A27" s="107" t="n">
        <v>23</v>
      </c>
      <c r="B27" s="108"/>
      <c r="C27" s="108"/>
      <c r="D27" s="108" t="n">
        <f aca="false">-340426-750</f>
        <v>-341176</v>
      </c>
      <c r="E27" s="108" t="n">
        <v>-342830</v>
      </c>
      <c r="F27" s="108"/>
      <c r="G27" s="108"/>
      <c r="H27" s="108" t="n">
        <f aca="false">+E27-D27+C27-B27</f>
        <v>-1654</v>
      </c>
      <c r="I27" s="113"/>
      <c r="J27" s="113"/>
      <c r="K27" s="113"/>
      <c r="L27" s="113"/>
      <c r="M27" s="113"/>
      <c r="N27" s="116"/>
      <c r="O27" s="115"/>
      <c r="P27" s="63"/>
      <c r="Q27" s="79"/>
      <c r="R27" s="110"/>
      <c r="Z27" s="123" t="n">
        <v>35582</v>
      </c>
      <c r="AA27" s="108" t="n">
        <v>1646640</v>
      </c>
      <c r="AB27" s="108" t="n">
        <v>1677213</v>
      </c>
      <c r="AC27" s="108" t="n">
        <f aca="false">+AB27-AA27</f>
        <v>30573</v>
      </c>
      <c r="AD27" s="108" t="n">
        <v>6522394</v>
      </c>
      <c r="AE27" s="108" t="n">
        <f aca="false">6540119+6303</f>
        <v>6546422</v>
      </c>
      <c r="AF27" s="108" t="n">
        <f aca="false">+AE27-AD27</f>
        <v>24028</v>
      </c>
      <c r="AI27" s="108" t="n">
        <f aca="false">+AH27-AG27</f>
        <v>0</v>
      </c>
      <c r="AJ27" s="108"/>
      <c r="AK27" s="108"/>
      <c r="AL27" s="108" t="n">
        <f aca="false">+AK27-AJ27</f>
        <v>0</v>
      </c>
      <c r="AM27" s="120" t="n">
        <f aca="false">+AA27-AG27</f>
        <v>1646640</v>
      </c>
      <c r="AN27" s="120" t="n">
        <f aca="false">+AB27-AH27</f>
        <v>1677213</v>
      </c>
      <c r="AO27" s="108" t="n">
        <f aca="false">+AD27-AJ27</f>
        <v>6522394</v>
      </c>
      <c r="AP27" s="108" t="n">
        <f aca="false">+AE27-AK27</f>
        <v>6546422</v>
      </c>
    </row>
    <row r="28" customFormat="false" ht="12.75" hidden="false" customHeight="false" outlineLevel="0" collapsed="false">
      <c r="A28" s="107" t="n">
        <v>24</v>
      </c>
      <c r="B28" s="108"/>
      <c r="C28" s="108"/>
      <c r="D28" s="108" t="n">
        <f aca="false">-316024-750</f>
        <v>-316774</v>
      </c>
      <c r="E28" s="108" t="n">
        <v>-334924</v>
      </c>
      <c r="F28" s="108"/>
      <c r="G28" s="108"/>
      <c r="H28" s="108" t="n">
        <f aca="false">+E28-D28+C28-B28</f>
        <v>-18150</v>
      </c>
      <c r="I28" s="113"/>
      <c r="J28" s="113"/>
      <c r="K28" s="113"/>
      <c r="L28" s="113"/>
      <c r="M28" s="113"/>
      <c r="N28" s="116"/>
      <c r="O28" s="115"/>
      <c r="P28" s="63"/>
      <c r="Q28" s="79"/>
      <c r="R28" s="110"/>
      <c r="Z28" s="123" t="n">
        <v>35612</v>
      </c>
      <c r="AA28" s="108" t="n">
        <v>1750599</v>
      </c>
      <c r="AB28" s="108" t="n">
        <v>1718899</v>
      </c>
      <c r="AC28" s="108" t="n">
        <f aca="false">+AB28-AA28</f>
        <v>-31700</v>
      </c>
      <c r="AD28" s="108" t="n">
        <v>7532026</v>
      </c>
      <c r="AE28" s="108" t="n">
        <v>7539173</v>
      </c>
      <c r="AF28" s="108" t="n">
        <f aca="false">+AE28-AD28</f>
        <v>7147</v>
      </c>
      <c r="AI28" s="108" t="n">
        <f aca="false">+AH28-AG28</f>
        <v>0</v>
      </c>
      <c r="AJ28" s="108"/>
      <c r="AK28" s="108"/>
      <c r="AL28" s="108" t="n">
        <f aca="false">+AK28-AJ28</f>
        <v>0</v>
      </c>
      <c r="AM28" s="120" t="n">
        <f aca="false">+AA28-AG28</f>
        <v>1750599</v>
      </c>
      <c r="AN28" s="120" t="n">
        <f aca="false">+AB28-AH28</f>
        <v>1718899</v>
      </c>
      <c r="AO28" s="108" t="n">
        <f aca="false">+AD28-AJ28</f>
        <v>7532026</v>
      </c>
      <c r="AP28" s="108" t="n">
        <f aca="false">+AE28-AK28</f>
        <v>7539173</v>
      </c>
    </row>
    <row r="29" customFormat="false" ht="12.75" hidden="false" customHeight="false" outlineLevel="0" collapsed="false">
      <c r="A29" s="107" t="n">
        <v>25</v>
      </c>
      <c r="B29" s="108"/>
      <c r="C29" s="108"/>
      <c r="D29" s="108" t="n">
        <f aca="false">-286955-750</f>
        <v>-287705</v>
      </c>
      <c r="E29" s="108" t="n">
        <v>-285138</v>
      </c>
      <c r="F29" s="108"/>
      <c r="G29" s="108"/>
      <c r="H29" s="108" t="n">
        <f aca="false">+E29-D29+C29-B29</f>
        <v>2567</v>
      </c>
      <c r="I29" s="113"/>
      <c r="J29" s="113"/>
      <c r="K29" s="113"/>
      <c r="L29" s="113"/>
      <c r="M29" s="113"/>
      <c r="N29" s="116"/>
      <c r="O29" s="115"/>
      <c r="P29" s="63"/>
      <c r="Q29" s="79"/>
      <c r="R29" s="110"/>
      <c r="Z29" s="123" t="n">
        <v>35643</v>
      </c>
      <c r="AA29" s="108" t="n">
        <v>566914</v>
      </c>
      <c r="AB29" s="108" t="n">
        <v>545248</v>
      </c>
      <c r="AC29" s="108" t="n">
        <f aca="false">+AB29-AA29</f>
        <v>-21666</v>
      </c>
      <c r="AD29" s="108" t="n">
        <v>6797342</v>
      </c>
      <c r="AE29" s="108" t="n">
        <v>6750964</v>
      </c>
      <c r="AF29" s="108" t="n">
        <f aca="false">+AE29-AD29</f>
        <v>-46378</v>
      </c>
      <c r="AI29" s="108" t="n">
        <f aca="false">+AH29-AG29</f>
        <v>0</v>
      </c>
      <c r="AJ29" s="108"/>
      <c r="AK29" s="108"/>
      <c r="AL29" s="108" t="n">
        <f aca="false">+AK29-AJ29</f>
        <v>0</v>
      </c>
      <c r="AM29" s="120" t="n">
        <f aca="false">+AA29-AG29</f>
        <v>566914</v>
      </c>
      <c r="AN29" s="120" t="n">
        <f aca="false">+AB29-AH29</f>
        <v>545248</v>
      </c>
      <c r="AO29" s="108" t="n">
        <f aca="false">+AD29-AJ29</f>
        <v>6797342</v>
      </c>
      <c r="AP29" s="108" t="n">
        <f aca="false">+AE29-AK29</f>
        <v>6750964</v>
      </c>
    </row>
    <row r="30" customFormat="false" ht="12.75" hidden="false" customHeight="false" outlineLevel="0" collapsed="false">
      <c r="A30" s="107" t="n">
        <v>26</v>
      </c>
      <c r="B30" s="108"/>
      <c r="C30" s="108"/>
      <c r="D30" s="108" t="n">
        <f aca="false">-263744-750</f>
        <v>-264494</v>
      </c>
      <c r="E30" s="108" t="n">
        <v>-265642</v>
      </c>
      <c r="F30" s="108"/>
      <c r="G30" s="108"/>
      <c r="H30" s="108" t="n">
        <f aca="false">+E30-D30+C30-B30</f>
        <v>-1148</v>
      </c>
      <c r="I30" s="113"/>
      <c r="J30" s="113"/>
      <c r="K30" s="113"/>
      <c r="L30" s="113"/>
      <c r="M30" s="113"/>
      <c r="N30" s="116"/>
      <c r="O30" s="115"/>
      <c r="P30" s="63"/>
      <c r="Q30" s="79"/>
      <c r="R30" s="110"/>
      <c r="Z30" s="123" t="n">
        <v>35674</v>
      </c>
      <c r="AA30" s="108" t="n">
        <v>587456</v>
      </c>
      <c r="AB30" s="108" t="n">
        <v>564735</v>
      </c>
      <c r="AC30" s="108" t="n">
        <f aca="false">+AB30-AA30</f>
        <v>-22721</v>
      </c>
      <c r="AD30" s="108" t="n">
        <v>6989932</v>
      </c>
      <c r="AE30" s="108" t="n">
        <v>6975913</v>
      </c>
      <c r="AF30" s="108" t="n">
        <f aca="false">+AE30-AD30</f>
        <v>-14019</v>
      </c>
      <c r="AI30" s="108" t="n">
        <f aca="false">+AH30-AG30</f>
        <v>0</v>
      </c>
      <c r="AJ30" s="108"/>
      <c r="AK30" s="108"/>
      <c r="AL30" s="108" t="n">
        <f aca="false">+AK30-AJ30</f>
        <v>0</v>
      </c>
      <c r="AM30" s="120" t="n">
        <f aca="false">+AA30-AG30</f>
        <v>587456</v>
      </c>
      <c r="AN30" s="120" t="n">
        <f aca="false">+AB30-AH30</f>
        <v>564735</v>
      </c>
      <c r="AO30" s="108" t="n">
        <f aca="false">+AD30-AJ30</f>
        <v>6989932</v>
      </c>
      <c r="AP30" s="108" t="n">
        <f aca="false">+AE30-AK30</f>
        <v>6975913</v>
      </c>
    </row>
    <row r="31" customFormat="false" ht="12.75" hidden="false" customHeight="false" outlineLevel="0" collapsed="false">
      <c r="A31" s="107" t="n">
        <v>27</v>
      </c>
      <c r="B31" s="108"/>
      <c r="C31" s="108"/>
      <c r="D31" s="108" t="n">
        <f aca="false">-264751-750</f>
        <v>-265501</v>
      </c>
      <c r="E31" s="108" t="n">
        <v>-263452</v>
      </c>
      <c r="F31" s="108"/>
      <c r="G31" s="108"/>
      <c r="H31" s="108" t="n">
        <f aca="false">+E31-D31+C31-B31</f>
        <v>2049</v>
      </c>
      <c r="I31" s="113"/>
      <c r="J31" s="113"/>
      <c r="K31" s="113"/>
      <c r="L31" s="113"/>
      <c r="M31" s="113"/>
      <c r="N31" s="116"/>
      <c r="O31" s="115"/>
      <c r="P31" s="63"/>
      <c r="Q31" s="79"/>
      <c r="R31" s="110"/>
      <c r="Z31" s="123" t="n">
        <v>35704</v>
      </c>
      <c r="AA31" s="108" t="n">
        <v>2763076</v>
      </c>
      <c r="AB31" s="108" t="n">
        <v>2772953</v>
      </c>
      <c r="AC31" s="108" t="n">
        <f aca="false">+AB31-AA31</f>
        <v>9877</v>
      </c>
      <c r="AD31" s="108" t="n">
        <v>7271471</v>
      </c>
      <c r="AE31" s="108" t="n">
        <v>7253744</v>
      </c>
      <c r="AF31" s="108" t="n">
        <f aca="false">+AE31-AD31</f>
        <v>-17727</v>
      </c>
      <c r="AI31" s="108" t="n">
        <f aca="false">+AH31-AG31</f>
        <v>0</v>
      </c>
      <c r="AJ31" s="108"/>
      <c r="AK31" s="108"/>
      <c r="AL31" s="108" t="n">
        <f aca="false">+AK31-AJ31</f>
        <v>0</v>
      </c>
      <c r="AM31" s="120" t="n">
        <f aca="false">+AA31-AG31</f>
        <v>2763076</v>
      </c>
      <c r="AN31" s="120" t="n">
        <f aca="false">+AB31-AH31</f>
        <v>2772953</v>
      </c>
      <c r="AO31" s="108" t="n">
        <f aca="false">+AD31-AJ31</f>
        <v>7271471</v>
      </c>
      <c r="AP31" s="108" t="n">
        <f aca="false">+AE31-AK31</f>
        <v>7253744</v>
      </c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/>
      <c r="G32" s="108"/>
      <c r="H32" s="108" t="n">
        <f aca="false">+E32-D32+C32-B32</f>
        <v>0</v>
      </c>
      <c r="I32" s="113"/>
      <c r="M32" s="113"/>
      <c r="N32" s="116"/>
      <c r="O32" s="115"/>
      <c r="P32" s="63"/>
      <c r="Q32" s="79"/>
      <c r="R32" s="110"/>
      <c r="Z32" s="123" t="n">
        <v>35735</v>
      </c>
      <c r="AA32" s="108" t="n">
        <v>1591038</v>
      </c>
      <c r="AB32" s="108" t="n">
        <v>1727548</v>
      </c>
      <c r="AC32" s="108" t="n">
        <f aca="false">+AB32-AA32</f>
        <v>136510</v>
      </c>
      <c r="AD32" s="108" t="n">
        <v>8245668</v>
      </c>
      <c r="AE32" s="108" t="n">
        <v>8323487</v>
      </c>
      <c r="AF32" s="108" t="n">
        <f aca="false">+AE32-AD32</f>
        <v>77819</v>
      </c>
      <c r="AI32" s="108" t="n">
        <f aca="false">+AH32-AG32</f>
        <v>0</v>
      </c>
      <c r="AJ32" s="108"/>
      <c r="AK32" s="108"/>
      <c r="AL32" s="108" t="n">
        <f aca="false">+AK32-AJ32</f>
        <v>0</v>
      </c>
      <c r="AM32" s="120" t="n">
        <f aca="false">+AA32-AG32</f>
        <v>1591038</v>
      </c>
      <c r="AN32" s="120" t="n">
        <f aca="false">+AB32-AH32</f>
        <v>1727548</v>
      </c>
      <c r="AO32" s="108" t="n">
        <f aca="false">+AD32-AJ32</f>
        <v>8245668</v>
      </c>
      <c r="AP32" s="108" t="n">
        <f aca="false">+AE32-AK32</f>
        <v>8323487</v>
      </c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/>
      <c r="G33" s="108"/>
      <c r="H33" s="108" t="n">
        <f aca="false">+E33-D33+C33-B33</f>
        <v>0</v>
      </c>
      <c r="I33" s="113"/>
      <c r="M33" s="113"/>
      <c r="N33" s="116"/>
      <c r="O33" s="115"/>
      <c r="P33" s="63"/>
      <c r="Q33" s="79"/>
      <c r="R33" s="110"/>
      <c r="Z33" s="123" t="n">
        <v>35765</v>
      </c>
      <c r="AA33" s="108" t="n">
        <v>1359336</v>
      </c>
      <c r="AB33" s="108" t="n">
        <v>1373488</v>
      </c>
      <c r="AC33" s="108" t="n">
        <f aca="false">+AB33-AA33</f>
        <v>14152</v>
      </c>
      <c r="AD33" s="108" t="n">
        <v>6610234</v>
      </c>
      <c r="AE33" s="108" t="n">
        <v>6570034</v>
      </c>
      <c r="AF33" s="108" t="n">
        <f aca="false">+AE33-AD33</f>
        <v>-40200</v>
      </c>
      <c r="AI33" s="108" t="n">
        <f aca="false">+AH33-AG33</f>
        <v>0</v>
      </c>
      <c r="AJ33" s="108"/>
      <c r="AK33" s="108"/>
      <c r="AL33" s="108" t="n">
        <f aca="false">+AK33-AJ33</f>
        <v>0</v>
      </c>
      <c r="AM33" s="120" t="n">
        <f aca="false">+AA33-AG33</f>
        <v>1359336</v>
      </c>
      <c r="AN33" s="120" t="n">
        <f aca="false">+AB33-AH33</f>
        <v>1373488</v>
      </c>
      <c r="AO33" s="108" t="n">
        <f aca="false">+AD33-AJ33</f>
        <v>6610234</v>
      </c>
      <c r="AP33" s="108" t="n">
        <f aca="false">+AE33-AK33</f>
        <v>6570034</v>
      </c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/>
      <c r="G34" s="108"/>
      <c r="H34" s="108" t="n">
        <f aca="false">+E34-D34+C34-B34</f>
        <v>0</v>
      </c>
      <c r="I34" s="113"/>
      <c r="M34" s="113"/>
      <c r="N34" s="116"/>
      <c r="O34" s="115"/>
      <c r="P34" s="63"/>
      <c r="Q34" s="79"/>
      <c r="R34" s="110"/>
      <c r="Z34" s="123" t="n">
        <v>35796</v>
      </c>
      <c r="AA34" s="108" t="n">
        <v>0</v>
      </c>
      <c r="AB34" s="108" t="n">
        <v>0</v>
      </c>
      <c r="AC34" s="108" t="n">
        <f aca="false">+AB34-AA34</f>
        <v>0</v>
      </c>
      <c r="AD34" s="108" t="n">
        <v>5384373</v>
      </c>
      <c r="AE34" s="108" t="n">
        <f aca="false">5306295+24983</f>
        <v>5331278</v>
      </c>
      <c r="AF34" s="108" t="n">
        <f aca="false">+AE34-AD34</f>
        <v>-53095</v>
      </c>
      <c r="AI34" s="108" t="n">
        <f aca="false">+AH34-AG34</f>
        <v>0</v>
      </c>
      <c r="AJ34" s="108"/>
      <c r="AK34" s="108"/>
      <c r="AL34" s="108" t="n">
        <f aca="false">+AK34-AJ34</f>
        <v>0</v>
      </c>
      <c r="AM34" s="120" t="n">
        <f aca="false">+AA34-AG34</f>
        <v>0</v>
      </c>
      <c r="AN34" s="120" t="n">
        <f aca="false">+AB34-AH34</f>
        <v>0</v>
      </c>
      <c r="AO34" s="108" t="n">
        <f aca="false">+AD34-AJ34</f>
        <v>5384373</v>
      </c>
      <c r="AP34" s="108" t="n">
        <f aca="false">+AE34-AK34</f>
        <v>5331278</v>
      </c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/>
      <c r="G35" s="108"/>
      <c r="H35" s="108" t="n">
        <f aca="false">+E35-D35+C35-B35</f>
        <v>0</v>
      </c>
      <c r="I35" s="113"/>
      <c r="M35" s="113"/>
      <c r="N35" s="116"/>
      <c r="O35" s="115"/>
      <c r="P35" s="63"/>
      <c r="Q35" s="79"/>
      <c r="R35" s="110"/>
      <c r="Z35" s="123" t="n">
        <v>35827</v>
      </c>
      <c r="AA35" s="108" t="n">
        <v>1711991</v>
      </c>
      <c r="AB35" s="108" t="n">
        <v>1737934</v>
      </c>
      <c r="AC35" s="108" t="n">
        <f aca="false">+AB35-AA35</f>
        <v>25943</v>
      </c>
      <c r="AD35" s="108" t="n">
        <v>7080113</v>
      </c>
      <c r="AE35" s="108" t="n">
        <v>7079803</v>
      </c>
      <c r="AF35" s="108" t="n">
        <f aca="false">+AE35-AD35</f>
        <v>-310</v>
      </c>
      <c r="AI35" s="108" t="n">
        <f aca="false">+AH35-AG35</f>
        <v>0</v>
      </c>
      <c r="AJ35" s="108"/>
      <c r="AK35" s="108"/>
      <c r="AL35" s="108" t="n">
        <f aca="false">+AK35-AJ35</f>
        <v>0</v>
      </c>
      <c r="AM35" s="120" t="n">
        <f aca="false">+AA35-AG35</f>
        <v>1711991</v>
      </c>
      <c r="AN35" s="120" t="n">
        <f aca="false">+AB35-AH35</f>
        <v>1737934</v>
      </c>
      <c r="AO35" s="108" t="n">
        <f aca="false">+AD35-AJ35</f>
        <v>7080113</v>
      </c>
      <c r="AP35" s="108" t="n">
        <f aca="false">+AE35-AK35</f>
        <v>7079803</v>
      </c>
    </row>
    <row r="36" customFormat="false" ht="12.75" hidden="false" customHeight="false" outlineLevel="0" collapsed="false">
      <c r="A36" s="107"/>
      <c r="B36" s="108" t="n">
        <f aca="false">SUM(B5:B35)</f>
        <v>113</v>
      </c>
      <c r="C36" s="108" t="n">
        <f aca="false">SUM(C5:C35)</f>
        <v>0</v>
      </c>
      <c r="D36" s="108" t="n">
        <f aca="false">SUM(D5:D35)</f>
        <v>-7632124</v>
      </c>
      <c r="E36" s="108" t="n">
        <f aca="false">SUM(E5:E35)</f>
        <v>-7725526</v>
      </c>
      <c r="F36" s="108" t="n">
        <f aca="false">SUM(F5:F35)</f>
        <v>0</v>
      </c>
      <c r="G36" s="108" t="n">
        <f aca="false">SUM(G5:G35)</f>
        <v>0</v>
      </c>
      <c r="H36" s="108" t="n">
        <f aca="false">SUM(H5:H35)</f>
        <v>-93515</v>
      </c>
      <c r="I36" s="108"/>
      <c r="M36" s="113"/>
      <c r="N36" s="114"/>
      <c r="O36" s="115"/>
      <c r="P36" s="63"/>
      <c r="Q36" s="79"/>
      <c r="R36" s="110"/>
      <c r="Z36" s="123" t="n">
        <v>35855</v>
      </c>
      <c r="AA36" s="108" t="n">
        <v>2604259</v>
      </c>
      <c r="AB36" s="108" t="n">
        <v>2600293</v>
      </c>
      <c r="AC36" s="108" t="n">
        <f aca="false">+AB36-AA36</f>
        <v>-3966</v>
      </c>
      <c r="AD36" s="108" t="n">
        <v>6921886</v>
      </c>
      <c r="AE36" s="108" t="n">
        <f aca="false">-6868413+6873298+6868413</f>
        <v>6873298</v>
      </c>
      <c r="AF36" s="108" t="n">
        <f aca="false">+AE36-AD36</f>
        <v>-48588</v>
      </c>
      <c r="AI36" s="108" t="n">
        <f aca="false">+AH36-AG36</f>
        <v>0</v>
      </c>
      <c r="AJ36" s="108"/>
      <c r="AK36" s="108"/>
      <c r="AL36" s="108" t="n">
        <f aca="false">+AK36-AJ36</f>
        <v>0</v>
      </c>
      <c r="AM36" s="120" t="n">
        <f aca="false">+AA36-AG36</f>
        <v>2604259</v>
      </c>
      <c r="AN36" s="120" t="n">
        <f aca="false">+AB36-AH36</f>
        <v>2600293</v>
      </c>
      <c r="AO36" s="108" t="n">
        <f aca="false">+AD36-AJ36</f>
        <v>6921886</v>
      </c>
      <c r="AP36" s="108" t="n">
        <f aca="false">+AE36-AK36</f>
        <v>6873298</v>
      </c>
    </row>
    <row r="37" customFormat="false" ht="12.75" hidden="false" customHeight="false" outlineLevel="0" collapsed="false">
      <c r="C37" s="120" t="n">
        <f aca="false">+C36-B36</f>
        <v>-113</v>
      </c>
      <c r="E37" s="120" t="n">
        <f aca="false">+E36-D36</f>
        <v>-93402</v>
      </c>
      <c r="H37" s="137"/>
      <c r="M37" s="113"/>
      <c r="N37" s="114"/>
      <c r="O37" s="115"/>
      <c r="P37" s="63"/>
      <c r="Q37" s="79"/>
      <c r="R37" s="110"/>
      <c r="Z37" s="123" t="n">
        <v>35886</v>
      </c>
      <c r="AA37" s="108" t="n">
        <f aca="false">-1997073+2069285+1997073</f>
        <v>2069285</v>
      </c>
      <c r="AB37" s="108" t="n">
        <v>2035083</v>
      </c>
      <c r="AC37" s="108" t="n">
        <f aca="false">+AB37-AA37</f>
        <v>-34202</v>
      </c>
      <c r="AD37" s="108" t="n">
        <v>7018932</v>
      </c>
      <c r="AE37" s="108" t="n">
        <v>7014499</v>
      </c>
      <c r="AF37" s="108" t="n">
        <f aca="false">+AE37-AD37</f>
        <v>-4433</v>
      </c>
      <c r="AI37" s="108" t="n">
        <f aca="false">+AH37-AG37</f>
        <v>0</v>
      </c>
      <c r="AJ37" s="108"/>
      <c r="AK37" s="108"/>
      <c r="AL37" s="108" t="n">
        <f aca="false">+AK37-AJ37</f>
        <v>0</v>
      </c>
      <c r="AM37" s="120" t="n">
        <f aca="false">+AA37-AG37</f>
        <v>2069285</v>
      </c>
      <c r="AN37" s="120" t="n">
        <f aca="false">+AB37-AH37</f>
        <v>2035083</v>
      </c>
      <c r="AO37" s="108" t="n">
        <f aca="false">+AD37-AJ37</f>
        <v>7018932</v>
      </c>
      <c r="AP37" s="108" t="n">
        <f aca="false">+AE37-AK37</f>
        <v>7014499</v>
      </c>
    </row>
    <row r="38" customFormat="false" ht="12.75" hidden="false" customHeight="false" outlineLevel="0" collapsed="false">
      <c r="A38" s="152" t="n">
        <v>37103</v>
      </c>
      <c r="B38" s="19" t="s">
        <v>138</v>
      </c>
      <c r="C38" s="197" t="n">
        <v>64269</v>
      </c>
      <c r="D38" s="198"/>
      <c r="E38" s="197" t="n">
        <v>27596</v>
      </c>
      <c r="F38" s="108"/>
      <c r="G38" s="108"/>
      <c r="H38" s="154" t="n">
        <f aca="false">+C38+E38+G38</f>
        <v>91865</v>
      </c>
      <c r="I38" s="108"/>
      <c r="M38" s="113"/>
      <c r="N38" s="114"/>
      <c r="O38" s="115"/>
      <c r="P38" s="63"/>
      <c r="Q38" s="79"/>
      <c r="R38" s="110"/>
      <c r="Z38" s="123" t="n">
        <v>35916</v>
      </c>
      <c r="AA38" s="108" t="n">
        <v>2491633</v>
      </c>
      <c r="AB38" s="108" t="n">
        <v>2482530</v>
      </c>
      <c r="AC38" s="108" t="n">
        <f aca="false">+AB38-AA38</f>
        <v>-9103</v>
      </c>
      <c r="AD38" s="108" t="n">
        <v>7745831</v>
      </c>
      <c r="AE38" s="108" t="n">
        <f aca="false">7754753-7770993-7771397+7770993+7771397</f>
        <v>7754753</v>
      </c>
      <c r="AF38" s="108" t="n">
        <f aca="false">+AE38-AD38</f>
        <v>8922</v>
      </c>
      <c r="AI38" s="108" t="n">
        <f aca="false">+AH38-AG38</f>
        <v>0</v>
      </c>
      <c r="AJ38" s="108"/>
      <c r="AK38" s="108"/>
      <c r="AL38" s="108" t="n">
        <f aca="false">+AK38-AJ38</f>
        <v>0</v>
      </c>
      <c r="AM38" s="120" t="n">
        <f aca="false">+AA38-AG38</f>
        <v>2491633</v>
      </c>
      <c r="AN38" s="120" t="n">
        <f aca="false">+AB38-AH38</f>
        <v>2482530</v>
      </c>
      <c r="AO38" s="108" t="n">
        <f aca="false">+AD38-AJ38</f>
        <v>7745831</v>
      </c>
      <c r="AP38" s="108" t="n">
        <f aca="false">+AE38-AK38</f>
        <v>7754753</v>
      </c>
    </row>
    <row r="39" customFormat="false" ht="12.75" hidden="false" customHeight="false" outlineLevel="0" collapsed="false">
      <c r="A39" s="152" t="n">
        <v>37130</v>
      </c>
      <c r="B39" s="19" t="s">
        <v>138</v>
      </c>
      <c r="C39" s="199" t="n">
        <f aca="false">+C38+C37</f>
        <v>64156</v>
      </c>
      <c r="D39" s="200"/>
      <c r="E39" s="199" t="n">
        <f aca="false">+E38+E37</f>
        <v>-65806</v>
      </c>
      <c r="F39" s="200"/>
      <c r="G39" s="199"/>
      <c r="H39" s="199" t="n">
        <f aca="false">+H38+H36</f>
        <v>-1650</v>
      </c>
      <c r="I39" s="113"/>
      <c r="M39" s="113"/>
      <c r="N39" s="114"/>
      <c r="O39" s="115"/>
      <c r="P39" s="63"/>
      <c r="Q39" s="79"/>
      <c r="R39" s="110"/>
      <c r="Z39" s="123" t="n">
        <v>35947</v>
      </c>
      <c r="AA39" s="108" t="n">
        <v>7174097</v>
      </c>
      <c r="AB39" s="108" t="n">
        <v>7200838</v>
      </c>
      <c r="AC39" s="108" t="n">
        <f aca="false">+AB39-AA39</f>
        <v>26741</v>
      </c>
      <c r="AD39" s="108" t="n">
        <v>7392850</v>
      </c>
      <c r="AE39" s="108" t="n">
        <v>7482566</v>
      </c>
      <c r="AF39" s="108" t="n">
        <f aca="false">+AE39-AD39</f>
        <v>89716</v>
      </c>
      <c r="AI39" s="108" t="n">
        <f aca="false">+AH39-AG39</f>
        <v>0</v>
      </c>
      <c r="AJ39" s="108"/>
      <c r="AK39" s="108"/>
      <c r="AL39" s="108" t="n">
        <f aca="false">+AK39-AJ39</f>
        <v>0</v>
      </c>
      <c r="AM39" s="120" t="n">
        <f aca="false">+AA39-AG39</f>
        <v>7174097</v>
      </c>
      <c r="AN39" s="120" t="n">
        <f aca="false">+AB39-AH39</f>
        <v>7200838</v>
      </c>
      <c r="AO39" s="108" t="n">
        <f aca="false">+AD39-AJ39</f>
        <v>7392850</v>
      </c>
      <c r="AP39" s="108" t="n">
        <f aca="false">+AE39-AK39</f>
        <v>7482566</v>
      </c>
    </row>
    <row r="40" customFormat="false" ht="12.75" hidden="false" customHeight="false" outlineLevel="0" collapsed="false">
      <c r="A40" s="134"/>
      <c r="D40" s="201"/>
      <c r="E40" s="201"/>
      <c r="F40" s="202"/>
      <c r="G40" s="201"/>
      <c r="H40" s="203"/>
      <c r="I40" s="113"/>
      <c r="M40" s="113"/>
      <c r="N40" s="114"/>
      <c r="O40" s="115"/>
      <c r="P40" s="63"/>
      <c r="Q40" s="79"/>
      <c r="R40" s="110"/>
      <c r="Z40" s="123"/>
      <c r="AA40" s="108"/>
      <c r="AB40" s="108"/>
      <c r="AC40" s="108"/>
      <c r="AD40" s="108"/>
      <c r="AE40" s="108"/>
      <c r="AF40" s="108"/>
      <c r="AI40" s="108"/>
      <c r="AJ40" s="108" t="n">
        <v>7406522</v>
      </c>
      <c r="AK40" s="108" t="n">
        <v>7304786</v>
      </c>
      <c r="AL40" s="108" t="n">
        <f aca="false">+AK40-AJ40</f>
        <v>-101736</v>
      </c>
      <c r="AM40" s="120" t="n">
        <f aca="false">+AA40-AG40</f>
        <v>0</v>
      </c>
      <c r="AN40" s="120" t="n">
        <f aca="false">+AB40-AH40</f>
        <v>0</v>
      </c>
      <c r="AO40" s="108" t="n">
        <f aca="false">+AD40-AJ40</f>
        <v>-7406522</v>
      </c>
      <c r="AP40" s="108" t="n">
        <f aca="false">+AE40-AK40</f>
        <v>-7304786</v>
      </c>
    </row>
    <row r="41" customFormat="false" ht="12.75" hidden="false" customHeight="false" outlineLevel="0" collapsed="false">
      <c r="A41" s="134"/>
      <c r="C41" s="40"/>
      <c r="E41" s="61"/>
      <c r="H41" s="112"/>
      <c r="I41" s="113"/>
      <c r="M41" s="113"/>
      <c r="N41" s="114"/>
      <c r="O41" s="115"/>
      <c r="P41" s="63"/>
      <c r="Q41" s="79"/>
      <c r="R41" s="110"/>
      <c r="Z41" s="123"/>
      <c r="AA41" s="108"/>
      <c r="AB41" s="108"/>
      <c r="AC41" s="108"/>
      <c r="AD41" s="108"/>
      <c r="AE41" s="108"/>
      <c r="AF41" s="108"/>
      <c r="AI41" s="108"/>
      <c r="AJ41" s="108" t="n">
        <v>7117406</v>
      </c>
      <c r="AK41" s="108" t="n">
        <v>7046179</v>
      </c>
      <c r="AL41" s="108" t="n">
        <f aca="false">+AK41-AJ41</f>
        <v>-71227</v>
      </c>
      <c r="AM41" s="120" t="n">
        <f aca="false">+AA41-AG41</f>
        <v>0</v>
      </c>
      <c r="AN41" s="120" t="n">
        <f aca="false">+AB41-AH41</f>
        <v>0</v>
      </c>
      <c r="AO41" s="108" t="n">
        <f aca="false">+AD41-AJ41</f>
        <v>-7117406</v>
      </c>
      <c r="AP41" s="108" t="n">
        <f aca="false">+AE41-AK41</f>
        <v>-7046179</v>
      </c>
    </row>
    <row r="42" customFormat="false" ht="12.75" hidden="false" customHeight="false" outlineLevel="0" collapsed="false">
      <c r="B42" s="98"/>
      <c r="D42" s="204"/>
      <c r="E42" s="100"/>
      <c r="F42" s="31"/>
      <c r="H42" s="112"/>
      <c r="I42" s="113"/>
      <c r="M42" s="113"/>
      <c r="N42" s="114"/>
      <c r="O42" s="115"/>
      <c r="P42" s="63"/>
      <c r="Q42" s="79"/>
      <c r="R42" s="110"/>
      <c r="Z42" s="123"/>
      <c r="AA42" s="108"/>
      <c r="AB42" s="108"/>
      <c r="AC42" s="108"/>
      <c r="AD42" s="108"/>
      <c r="AE42" s="108"/>
      <c r="AF42" s="108"/>
      <c r="AI42" s="108"/>
      <c r="AJ42" s="108" t="n">
        <v>4237008</v>
      </c>
      <c r="AK42" s="108" t="n">
        <v>4213826</v>
      </c>
      <c r="AL42" s="108" t="n">
        <f aca="false">+AK42-AJ42</f>
        <v>-23182</v>
      </c>
      <c r="AM42" s="120" t="n">
        <f aca="false">+AA42-AG42</f>
        <v>0</v>
      </c>
      <c r="AN42" s="120" t="n">
        <f aca="false">+AB42-AH42</f>
        <v>0</v>
      </c>
      <c r="AO42" s="108" t="n">
        <f aca="false">+AD42-AJ42</f>
        <v>-4237008</v>
      </c>
      <c r="AP42" s="108" t="n">
        <f aca="false">+AE42-AK42</f>
        <v>-4213826</v>
      </c>
    </row>
    <row r="43" customFormat="false" ht="12.75" hidden="false" customHeight="false" outlineLevel="0" collapsed="false">
      <c r="A43" s="9" t="s">
        <v>120</v>
      </c>
      <c r="B43" s="9"/>
      <c r="C43" s="9"/>
      <c r="D43" s="16"/>
      <c r="E43" s="205"/>
      <c r="H43" s="112"/>
      <c r="I43" s="113"/>
      <c r="M43" s="113"/>
      <c r="N43" s="114"/>
      <c r="O43" s="115"/>
      <c r="P43" s="63"/>
      <c r="Q43" s="79"/>
      <c r="R43" s="110"/>
      <c r="Z43" s="123"/>
      <c r="AA43" s="108"/>
      <c r="AB43" s="108"/>
      <c r="AC43" s="108"/>
      <c r="AD43" s="108"/>
      <c r="AE43" s="108"/>
      <c r="AF43" s="108"/>
      <c r="AI43" s="108"/>
      <c r="AJ43" s="108" t="n">
        <v>5495933</v>
      </c>
      <c r="AK43" s="108" t="n">
        <v>5459183</v>
      </c>
      <c r="AL43" s="108" t="n">
        <f aca="false">+AK43-AJ43</f>
        <v>-36750</v>
      </c>
      <c r="AM43" s="120" t="n">
        <f aca="false">+AA43-AG43</f>
        <v>0</v>
      </c>
      <c r="AN43" s="120" t="n">
        <f aca="false">+AB43-AH43</f>
        <v>0</v>
      </c>
      <c r="AO43" s="108" t="n">
        <f aca="false">+AD43-AJ43</f>
        <v>-5495933</v>
      </c>
      <c r="AP43" s="108" t="n">
        <f aca="false">+AE43-AK43</f>
        <v>-5459183</v>
      </c>
    </row>
    <row r="44" customFormat="false" ht="12.75" hidden="false" customHeight="false" outlineLevel="0" collapsed="false">
      <c r="A44" s="124" t="n">
        <v>37103</v>
      </c>
      <c r="B44" s="9"/>
      <c r="C44" s="206" t="n">
        <v>-1582961</v>
      </c>
      <c r="D44" s="58"/>
      <c r="E44" s="207" t="n">
        <v>1186736.62</v>
      </c>
      <c r="F44" s="16" t="n">
        <f aca="false">+E44+C44</f>
        <v>-396224.38</v>
      </c>
      <c r="G44" s="2"/>
      <c r="H44" s="208"/>
      <c r="I44" s="108"/>
      <c r="M44" s="113"/>
      <c r="N44" s="114"/>
      <c r="O44" s="115"/>
      <c r="P44" s="63"/>
      <c r="Q44" s="79"/>
      <c r="R44" s="110"/>
      <c r="Z44" s="123"/>
      <c r="AA44" s="108"/>
      <c r="AB44" s="108"/>
      <c r="AC44" s="108"/>
      <c r="AD44" s="108"/>
      <c r="AE44" s="108"/>
      <c r="AF44" s="108"/>
      <c r="AI44" s="108"/>
      <c r="AJ44" s="108" t="n">
        <v>6267433</v>
      </c>
      <c r="AK44" s="108" t="n">
        <v>6340959</v>
      </c>
      <c r="AL44" s="108" t="n">
        <f aca="false">+AK44-AJ44</f>
        <v>73526</v>
      </c>
      <c r="AM44" s="120" t="n">
        <f aca="false">+AA44-AG44</f>
        <v>0</v>
      </c>
      <c r="AN44" s="120" t="n">
        <f aca="false">+AB44-AH44</f>
        <v>0</v>
      </c>
      <c r="AO44" s="108" t="n">
        <f aca="false">+AD44-AJ44</f>
        <v>-6267433</v>
      </c>
      <c r="AP44" s="108" t="n">
        <f aca="false">+AE44-AK44</f>
        <v>-6340959</v>
      </c>
    </row>
    <row r="45" customFormat="false" ht="12.75" hidden="false" customHeight="false" outlineLevel="0" collapsed="false">
      <c r="A45" s="124" t="n">
        <f aca="false">+A39</f>
        <v>37130</v>
      </c>
      <c r="B45" s="9"/>
      <c r="C45" s="16" t="n">
        <f aca="false">+C37*summary!H4</f>
        <v>-317.53</v>
      </c>
      <c r="D45" s="58"/>
      <c r="E45" s="131" t="n">
        <f aca="false">+E37*summary!H3</f>
        <v>-245647.26</v>
      </c>
      <c r="F45" s="16" t="n">
        <f aca="false">+E45+C45</f>
        <v>-245964.79</v>
      </c>
      <c r="G45" s="2"/>
      <c r="H45" s="208"/>
      <c r="I45" s="108"/>
      <c r="M45" s="113"/>
      <c r="N45" s="114"/>
      <c r="O45" s="115"/>
      <c r="P45" s="63"/>
      <c r="Q45" s="79"/>
      <c r="R45" s="110"/>
      <c r="Z45" s="123"/>
      <c r="AA45" s="108"/>
      <c r="AB45" s="108"/>
      <c r="AC45" s="108"/>
      <c r="AD45" s="108"/>
      <c r="AE45" s="108"/>
      <c r="AF45" s="108"/>
      <c r="AI45" s="108"/>
      <c r="AJ45" s="108" t="n">
        <v>5986165</v>
      </c>
      <c r="AK45" s="108" t="n">
        <v>6087179</v>
      </c>
      <c r="AL45" s="108" t="n">
        <f aca="false">+AK45-AJ45</f>
        <v>101014</v>
      </c>
      <c r="AM45" s="120" t="n">
        <f aca="false">+AA45-AG45</f>
        <v>0</v>
      </c>
      <c r="AN45" s="120" t="n">
        <f aca="false">+AB45-AH45</f>
        <v>0</v>
      </c>
      <c r="AO45" s="108" t="n">
        <f aca="false">+AD45-AJ45</f>
        <v>-5986165</v>
      </c>
      <c r="AP45" s="108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-1583278.53</v>
      </c>
      <c r="D46" s="58"/>
      <c r="E46" s="131" t="n">
        <f aca="false">+E45+E44</f>
        <v>941089.36</v>
      </c>
      <c r="F46" s="16" t="n">
        <f aca="false">+E46+C46</f>
        <v>-642189.17</v>
      </c>
      <c r="G46" s="2"/>
      <c r="H46" s="208"/>
      <c r="M46" s="113"/>
      <c r="N46" s="114"/>
      <c r="O46" s="115"/>
      <c r="P46" s="63"/>
      <c r="Q46" s="79"/>
      <c r="R46" s="110"/>
      <c r="Z46" s="123"/>
      <c r="AA46" s="108"/>
      <c r="AB46" s="108"/>
      <c r="AC46" s="108"/>
      <c r="AD46" s="108"/>
      <c r="AE46" s="108"/>
      <c r="AF46" s="108"/>
      <c r="AI46" s="108"/>
      <c r="AJ46" s="108" t="n">
        <v>4390912</v>
      </c>
      <c r="AK46" s="108" t="n">
        <v>4422415</v>
      </c>
      <c r="AL46" s="108" t="n">
        <f aca="false">+AK46-AJ46</f>
        <v>31503</v>
      </c>
      <c r="AM46" s="120" t="n">
        <f aca="false">+AA46-AG46</f>
        <v>0</v>
      </c>
      <c r="AN46" s="120" t="n">
        <f aca="false">+AB46-AH46</f>
        <v>0</v>
      </c>
      <c r="AO46" s="108" t="n">
        <f aca="false">+AD46-AJ46</f>
        <v>-4390912</v>
      </c>
      <c r="AP46" s="108" t="n">
        <f aca="false">+AE46-AK46</f>
        <v>-4422415</v>
      </c>
    </row>
    <row r="47" customFormat="false" ht="12.75" hidden="false" customHeight="false" outlineLevel="0" collapsed="false">
      <c r="A47" s="107"/>
      <c r="B47" s="108"/>
      <c r="C47" s="131"/>
      <c r="D47" s="131"/>
      <c r="E47" s="131"/>
      <c r="F47" s="16"/>
      <c r="G47" s="2"/>
      <c r="H47" s="208"/>
      <c r="M47" s="113"/>
      <c r="N47" s="114"/>
      <c r="O47" s="115"/>
      <c r="P47" s="63"/>
      <c r="Q47" s="79"/>
      <c r="R47" s="110"/>
      <c r="Z47" s="123"/>
      <c r="AA47" s="108"/>
      <c r="AB47" s="108"/>
      <c r="AC47" s="108"/>
      <c r="AD47" s="108"/>
      <c r="AE47" s="108"/>
      <c r="AF47" s="108"/>
      <c r="AI47" s="108"/>
      <c r="AJ47" s="108" t="n">
        <f aca="false">3941641</f>
        <v>3941641</v>
      </c>
      <c r="AK47" s="108" t="n">
        <f aca="false">3996593+13790</f>
        <v>4010383</v>
      </c>
      <c r="AL47" s="108" t="n">
        <f aca="false">+AK47-AJ47</f>
        <v>68742</v>
      </c>
      <c r="AM47" s="120" t="n">
        <f aca="false">+AA47-AG47</f>
        <v>0</v>
      </c>
      <c r="AN47" s="120" t="n">
        <f aca="false">+AB47-AH47</f>
        <v>0</v>
      </c>
      <c r="AO47" s="108" t="n">
        <f aca="false">+AD47-AJ47</f>
        <v>-3941641</v>
      </c>
      <c r="AP47" s="108" t="n">
        <f aca="false">+AE47-AK47</f>
        <v>-4010383</v>
      </c>
    </row>
    <row r="48" customFormat="false" ht="12.75" hidden="false" customHeight="false" outlineLevel="0" collapsed="false">
      <c r="A48" s="107"/>
      <c r="B48" s="108"/>
      <c r="C48" s="108"/>
      <c r="D48" s="108"/>
      <c r="E48" s="191"/>
      <c r="F48" s="63"/>
      <c r="H48" s="112"/>
      <c r="N48" s="114"/>
      <c r="Z48" s="123"/>
      <c r="AA48" s="108"/>
      <c r="AB48" s="108"/>
      <c r="AC48" s="108"/>
      <c r="AD48" s="108"/>
      <c r="AE48" s="108"/>
      <c r="AF48" s="120"/>
      <c r="AI48" s="120"/>
      <c r="AL48" s="120" t="n">
        <f aca="false">SUM(AL7:AL47)</f>
        <v>41890</v>
      </c>
      <c r="AM48" s="120" t="n">
        <f aca="false">+AA48-AG48</f>
        <v>0</v>
      </c>
      <c r="AN48" s="120" t="n">
        <f aca="false">+AB48-AH48</f>
        <v>0</v>
      </c>
      <c r="AO48" s="108" t="n">
        <f aca="false">+AD48-AJ48</f>
        <v>0</v>
      </c>
      <c r="AP48" s="108" t="n">
        <f aca="false">+AE48-AK48</f>
        <v>0</v>
      </c>
    </row>
    <row r="49" customFormat="false" ht="12.75" hidden="false" customHeight="false" outlineLevel="0" collapsed="false">
      <c r="A49" s="107"/>
      <c r="B49" s="108"/>
      <c r="C49" s="108"/>
      <c r="D49" s="108"/>
      <c r="E49" s="191"/>
      <c r="F49" s="63"/>
      <c r="H49" s="112"/>
      <c r="Z49" s="123"/>
      <c r="AA49" s="108"/>
      <c r="AB49" s="108"/>
      <c r="AC49" s="108"/>
      <c r="AD49" s="108"/>
      <c r="AE49" s="108"/>
      <c r="AF49" s="9"/>
      <c r="AN49" s="0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63"/>
      <c r="H50" s="112"/>
      <c r="Z50" s="123"/>
      <c r="AA50" s="108"/>
      <c r="AB50" s="108"/>
      <c r="AC50" s="108"/>
      <c r="AD50" s="108"/>
      <c r="AE50" s="108"/>
      <c r="AF50" s="9"/>
      <c r="AN50" s="0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63"/>
      <c r="H51" s="112"/>
      <c r="Z51" s="123"/>
      <c r="AA51" s="108"/>
      <c r="AB51" s="108"/>
      <c r="AC51" s="108"/>
      <c r="AD51" s="108"/>
      <c r="AE51" s="108"/>
      <c r="AF51" s="63"/>
      <c r="AN51" s="0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63"/>
      <c r="H52" s="112"/>
      <c r="Z52" s="123"/>
      <c r="AA52" s="108"/>
      <c r="AB52" s="108"/>
      <c r="AC52" s="108"/>
      <c r="AD52" s="108"/>
      <c r="AE52" s="108"/>
      <c r="AF52" s="9"/>
      <c r="AN52" s="0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63"/>
      <c r="H53" s="112"/>
      <c r="Z53" s="123"/>
      <c r="AA53" s="108"/>
      <c r="AB53" s="108"/>
      <c r="AC53" s="108"/>
      <c r="AD53" s="108"/>
      <c r="AE53" s="108"/>
      <c r="AF53" s="9"/>
      <c r="AN53" s="0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63"/>
      <c r="H54" s="112"/>
      <c r="Z54" s="123"/>
      <c r="AA54" s="108"/>
      <c r="AB54" s="108"/>
      <c r="AC54" s="108"/>
      <c r="AD54" s="108"/>
      <c r="AE54" s="108"/>
      <c r="AF54" s="9"/>
      <c r="AN54" s="0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63"/>
      <c r="H55" s="112"/>
      <c r="Z55" s="123"/>
      <c r="AA55" s="108"/>
      <c r="AB55" s="108"/>
      <c r="AC55" s="108"/>
      <c r="AD55" s="108"/>
      <c r="AE55" s="108"/>
      <c r="AF55" s="9"/>
      <c r="AN55" s="0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63"/>
      <c r="H56" s="112"/>
      <c r="AN56" s="0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63"/>
      <c r="H57" s="112"/>
      <c r="AN57" s="0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63"/>
      <c r="H58" s="112"/>
      <c r="AN58" s="0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H59" s="112"/>
      <c r="AN59" s="0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H60" s="112"/>
      <c r="Z60" s="123"/>
      <c r="AA60" s="108"/>
      <c r="AB60" s="108"/>
      <c r="AC60" s="108"/>
      <c r="AD60" s="108"/>
      <c r="AE60" s="108"/>
      <c r="AF60" s="9"/>
      <c r="AN60" s="0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H61" s="112"/>
      <c r="Z61" s="123"/>
      <c r="AA61" s="108"/>
      <c r="AB61" s="108"/>
      <c r="AC61" s="108"/>
      <c r="AD61" s="108"/>
      <c r="AE61" s="108"/>
      <c r="AF61" s="9"/>
      <c r="AN61" s="0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H62" s="112"/>
      <c r="Z62" s="123"/>
      <c r="AA62" s="108"/>
      <c r="AB62" s="108"/>
      <c r="AC62" s="108"/>
      <c r="AD62" s="108"/>
      <c r="AE62" s="108"/>
      <c r="AF62" s="9"/>
      <c r="AN62" s="0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H63" s="112"/>
      <c r="Z63" s="123"/>
      <c r="AA63" s="108"/>
      <c r="AB63" s="108"/>
      <c r="AC63" s="108"/>
      <c r="AD63" s="108"/>
      <c r="AE63" s="108"/>
      <c r="AF63" s="9"/>
      <c r="AN63" s="0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H64" s="112"/>
      <c r="Z64" s="123"/>
      <c r="AA64" s="108"/>
      <c r="AB64" s="108"/>
      <c r="AC64" s="108"/>
      <c r="AD64" s="108"/>
      <c r="AE64" s="108"/>
      <c r="AF64" s="9"/>
      <c r="AN64" s="0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H65" s="112"/>
      <c r="Z65" s="123"/>
      <c r="AA65" s="108"/>
      <c r="AB65" s="108"/>
      <c r="AC65" s="108"/>
      <c r="AD65" s="108"/>
      <c r="AE65" s="108"/>
      <c r="AF65" s="9"/>
      <c r="AN65" s="0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H66" s="112"/>
      <c r="Z66" s="123"/>
      <c r="AA66" s="108"/>
      <c r="AB66" s="108"/>
      <c r="AC66" s="108"/>
      <c r="AD66" s="108"/>
      <c r="AE66" s="108"/>
      <c r="AF66" s="9"/>
      <c r="AN66" s="0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Z67" s="123"/>
      <c r="AA67" s="108"/>
      <c r="AB67" s="108"/>
      <c r="AC67" s="108"/>
      <c r="AD67" s="108"/>
      <c r="AE67" s="108"/>
      <c r="AF67" s="9"/>
      <c r="AN67" s="0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H68" s="112"/>
      <c r="I68" s="113"/>
      <c r="J68" s="113"/>
      <c r="K68" s="113"/>
      <c r="L68" s="113"/>
      <c r="M68" s="113"/>
      <c r="N68" s="209"/>
      <c r="O68" s="210"/>
      <c r="Z68" s="123"/>
      <c r="AA68" s="108"/>
      <c r="AB68" s="108"/>
      <c r="AC68" s="108"/>
      <c r="AD68" s="108"/>
      <c r="AE68" s="108"/>
      <c r="AF68" s="9"/>
      <c r="AN68" s="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H69" s="112"/>
      <c r="I69" s="113"/>
      <c r="J69" s="113"/>
      <c r="K69" s="113"/>
      <c r="L69" s="113"/>
      <c r="M69" s="113"/>
      <c r="N69" s="209"/>
      <c r="O69" s="210"/>
      <c r="Z69" s="123"/>
      <c r="AA69" s="108"/>
      <c r="AB69" s="108"/>
      <c r="AC69" s="108"/>
      <c r="AD69" s="108"/>
      <c r="AE69" s="108"/>
      <c r="AF69" s="9"/>
      <c r="AN69" s="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H70" s="112"/>
      <c r="I70" s="113"/>
      <c r="J70" s="113"/>
      <c r="K70" s="113"/>
      <c r="L70" s="113"/>
      <c r="M70" s="113"/>
      <c r="N70" s="209"/>
      <c r="O70" s="210"/>
      <c r="Z70" s="123"/>
      <c r="AA70" s="108"/>
      <c r="AB70" s="108"/>
      <c r="AC70" s="108"/>
      <c r="AD70" s="108"/>
      <c r="AE70" s="108"/>
      <c r="AF70" s="9"/>
      <c r="AN70" s="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H71" s="112"/>
      <c r="I71" s="113"/>
      <c r="J71" s="113"/>
      <c r="K71" s="113"/>
      <c r="L71" s="113"/>
      <c r="M71" s="113"/>
      <c r="N71" s="209"/>
      <c r="O71" s="210"/>
      <c r="Z71" s="123"/>
      <c r="AA71" s="108"/>
      <c r="AB71" s="108"/>
      <c r="AC71" s="108"/>
      <c r="AD71" s="108"/>
      <c r="AE71" s="108"/>
      <c r="AF71" s="9"/>
      <c r="AN71" s="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H72" s="112"/>
      <c r="I72" s="113"/>
      <c r="J72" s="113"/>
      <c r="K72" s="113"/>
      <c r="L72" s="113"/>
      <c r="M72" s="113"/>
      <c r="N72" s="209"/>
      <c r="O72" s="210"/>
      <c r="Z72" s="123"/>
      <c r="AA72" s="108"/>
      <c r="AB72" s="108"/>
      <c r="AC72" s="108"/>
      <c r="AD72" s="108"/>
      <c r="AE72" s="108"/>
      <c r="AF72" s="9"/>
      <c r="AN72" s="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H73" s="112"/>
      <c r="I73" s="113"/>
      <c r="J73" s="113"/>
      <c r="K73" s="113"/>
      <c r="L73" s="113"/>
      <c r="M73" s="113"/>
      <c r="N73" s="209"/>
      <c r="O73" s="210"/>
      <c r="Z73" s="123"/>
      <c r="AA73" s="108"/>
      <c r="AB73" s="108"/>
      <c r="AC73" s="108"/>
      <c r="AD73" s="108"/>
      <c r="AE73" s="108"/>
      <c r="AF73" s="9"/>
      <c r="AN73" s="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H74" s="112"/>
      <c r="I74" s="113"/>
      <c r="J74" s="113"/>
      <c r="K74" s="113"/>
      <c r="L74" s="113"/>
      <c r="M74" s="113"/>
      <c r="N74" s="194"/>
      <c r="O74" s="210"/>
      <c r="Z74" s="123"/>
      <c r="AA74" s="108"/>
      <c r="AB74" s="108"/>
      <c r="AC74" s="108"/>
      <c r="AD74" s="108"/>
      <c r="AE74" s="108"/>
      <c r="AF74" s="9"/>
      <c r="AN74" s="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63"/>
      <c r="H75" s="112"/>
      <c r="I75" s="113"/>
      <c r="J75" s="113"/>
      <c r="K75" s="113"/>
      <c r="L75" s="113"/>
      <c r="M75" s="113"/>
      <c r="N75" s="194"/>
      <c r="O75" s="210"/>
      <c r="Z75" s="123"/>
      <c r="AA75" s="108"/>
      <c r="AB75" s="108"/>
      <c r="AC75" s="108"/>
      <c r="AD75" s="108"/>
      <c r="AE75" s="108"/>
      <c r="AF75" s="9"/>
      <c r="AN75" s="0"/>
    </row>
    <row r="76" customFormat="false" ht="12.75" hidden="false" customHeight="false" outlineLevel="0" collapsed="false">
      <c r="A76" s="211"/>
      <c r="C76" s="120"/>
      <c r="D76" s="120"/>
      <c r="E76" s="120"/>
      <c r="H76" s="112"/>
      <c r="I76" s="113"/>
      <c r="J76" s="113"/>
      <c r="K76" s="113"/>
      <c r="L76" s="113"/>
      <c r="M76" s="113"/>
      <c r="N76" s="194"/>
      <c r="O76" s="210"/>
      <c r="AN76" s="0"/>
    </row>
    <row r="77" customFormat="false" ht="12.75" hidden="false" customHeight="false" outlineLevel="0" collapsed="false">
      <c r="A77" s="211"/>
      <c r="B77" s="19"/>
      <c r="C77" s="108"/>
      <c r="D77" s="108"/>
      <c r="E77" s="120"/>
      <c r="H77" s="112"/>
      <c r="I77" s="113"/>
      <c r="J77" s="113"/>
      <c r="K77" s="113"/>
      <c r="L77" s="113"/>
      <c r="M77" s="113"/>
      <c r="N77" s="194"/>
      <c r="O77" s="210"/>
      <c r="AN77" s="0"/>
    </row>
    <row r="78" customFormat="false" ht="12.75" hidden="false" customHeight="false" outlineLevel="0" collapsed="false">
      <c r="A78" s="134"/>
      <c r="C78" s="120"/>
      <c r="D78" s="120"/>
      <c r="E78" s="120"/>
      <c r="H78" s="112"/>
      <c r="I78" s="113"/>
      <c r="J78" s="113"/>
      <c r="K78" s="113"/>
      <c r="L78" s="113"/>
      <c r="M78" s="113"/>
      <c r="N78" s="194"/>
      <c r="O78" s="210"/>
      <c r="AN78" s="0"/>
    </row>
    <row r="79" customFormat="false" ht="12.75" hidden="false" customHeight="false" outlineLevel="0" collapsed="false">
      <c r="A79" s="134"/>
      <c r="H79" s="112"/>
      <c r="I79" s="113"/>
      <c r="J79" s="113"/>
      <c r="K79" s="113"/>
      <c r="L79" s="113"/>
      <c r="M79" s="113"/>
      <c r="N79" s="194"/>
      <c r="O79" s="210"/>
      <c r="AN79" s="0"/>
    </row>
    <row r="80" customFormat="false" ht="12.75" hidden="false" customHeight="false" outlineLevel="0" collapsed="false">
      <c r="A80" s="160"/>
      <c r="B80" s="157"/>
      <c r="C80" s="108"/>
      <c r="D80" s="108"/>
      <c r="F80" s="160"/>
      <c r="G80" s="157"/>
      <c r="H80" s="108"/>
      <c r="I80" s="108"/>
      <c r="J80" s="108"/>
      <c r="L80" s="160"/>
      <c r="M80" s="157"/>
      <c r="N80" s="108"/>
      <c r="O80" s="108"/>
      <c r="P80" s="108"/>
      <c r="R80" s="160"/>
      <c r="S80" s="157"/>
      <c r="T80" s="108"/>
      <c r="U80" s="108"/>
      <c r="V80" s="108"/>
      <c r="AN80" s="0"/>
    </row>
    <row r="81" customFormat="false" ht="12.75" hidden="false" customHeight="false" outlineLevel="0" collapsed="false">
      <c r="B81" s="98"/>
      <c r="D81" s="100"/>
      <c r="E81" s="100"/>
      <c r="F81" s="0"/>
      <c r="G81" s="100"/>
      <c r="H81" s="9"/>
      <c r="I81" s="100"/>
      <c r="J81" s="100"/>
      <c r="K81" s="100"/>
      <c r="M81" s="98"/>
      <c r="O81" s="212"/>
      <c r="P81" s="100"/>
      <c r="Q81" s="100"/>
      <c r="S81" s="98"/>
      <c r="U81" s="212"/>
      <c r="V81" s="100"/>
      <c r="W81" s="100"/>
      <c r="AN81" s="0"/>
    </row>
    <row r="82" customFormat="false" ht="12.75" hidden="false" customHeight="false" outlineLevel="0" collapsed="false">
      <c r="A82" s="75"/>
      <c r="B82" s="101"/>
      <c r="C82" s="101"/>
      <c r="D82" s="101"/>
      <c r="E82" s="101"/>
      <c r="F82" s="75"/>
      <c r="G82" s="101"/>
      <c r="H82" s="101"/>
      <c r="I82" s="101"/>
      <c r="J82" s="101"/>
      <c r="K82" s="101"/>
      <c r="L82" s="75"/>
      <c r="M82" s="101"/>
      <c r="N82" s="101"/>
      <c r="O82" s="101"/>
      <c r="P82" s="101"/>
      <c r="Q82" s="101"/>
      <c r="R82" s="75"/>
      <c r="S82" s="101"/>
      <c r="T82" s="101"/>
      <c r="U82" s="101"/>
      <c r="V82" s="101"/>
      <c r="W82" s="101"/>
      <c r="AN82" s="0"/>
    </row>
    <row r="83" customFormat="false" ht="12.75" hidden="false" customHeight="false" outlineLevel="0" collapsed="false">
      <c r="A83" s="107"/>
      <c r="B83" s="108"/>
      <c r="C83" s="108"/>
      <c r="D83" s="108"/>
      <c r="E83" s="108"/>
      <c r="F83" s="107"/>
      <c r="G83" s="108"/>
      <c r="H83" s="108"/>
      <c r="I83" s="108"/>
      <c r="J83" s="108"/>
      <c r="K83" s="108"/>
      <c r="L83" s="107"/>
      <c r="M83" s="108"/>
      <c r="N83" s="108"/>
      <c r="O83" s="108"/>
      <c r="P83" s="108"/>
      <c r="Q83" s="108"/>
      <c r="R83" s="107"/>
      <c r="S83" s="108"/>
      <c r="T83" s="108"/>
      <c r="U83" s="108"/>
      <c r="V83" s="108"/>
      <c r="W83" s="108"/>
      <c r="AN83" s="0"/>
    </row>
    <row r="84" customFormat="false" ht="12.75" hidden="false" customHeight="false" outlineLevel="0" collapsed="false">
      <c r="A84" s="107"/>
      <c r="B84" s="108"/>
      <c r="C84" s="108"/>
      <c r="D84" s="108"/>
      <c r="E84" s="108"/>
      <c r="F84" s="107"/>
      <c r="G84" s="108"/>
      <c r="H84" s="108"/>
      <c r="I84" s="108"/>
      <c r="J84" s="108"/>
      <c r="K84" s="108"/>
      <c r="L84" s="107"/>
      <c r="M84" s="108"/>
      <c r="N84" s="108"/>
      <c r="O84" s="108"/>
      <c r="P84" s="108"/>
      <c r="Q84" s="108"/>
      <c r="R84" s="107"/>
      <c r="S84" s="108"/>
      <c r="T84" s="108"/>
      <c r="U84" s="108"/>
      <c r="V84" s="108"/>
      <c r="W84" s="108"/>
      <c r="AN84" s="0"/>
    </row>
    <row r="85" customFormat="false" ht="12.75" hidden="false" customHeight="false" outlineLevel="0" collapsed="false">
      <c r="A85" s="107"/>
      <c r="B85" s="108"/>
      <c r="C85" s="108"/>
      <c r="D85" s="108"/>
      <c r="E85" s="108"/>
      <c r="F85" s="107"/>
      <c r="G85" s="108"/>
      <c r="H85" s="108"/>
      <c r="I85" s="108"/>
      <c r="J85" s="108"/>
      <c r="K85" s="108"/>
      <c r="L85" s="107"/>
      <c r="M85" s="108"/>
      <c r="N85" s="108"/>
      <c r="O85" s="108"/>
      <c r="P85" s="108"/>
      <c r="Q85" s="108"/>
      <c r="R85" s="107"/>
      <c r="S85" s="108"/>
      <c r="T85" s="108"/>
      <c r="U85" s="108"/>
      <c r="V85" s="108"/>
      <c r="W85" s="108"/>
      <c r="AN85" s="0"/>
    </row>
    <row r="86" customFormat="false" ht="12.75" hidden="false" customHeight="false" outlineLevel="0" collapsed="false">
      <c r="A86" s="107"/>
      <c r="B86" s="108"/>
      <c r="C86" s="108"/>
      <c r="D86" s="108"/>
      <c r="E86" s="108"/>
      <c r="F86" s="107"/>
      <c r="G86" s="108"/>
      <c r="H86" s="108"/>
      <c r="I86" s="108"/>
      <c r="J86" s="108"/>
      <c r="K86" s="108"/>
      <c r="L86" s="107"/>
      <c r="M86" s="108"/>
      <c r="N86" s="108"/>
      <c r="O86" s="108"/>
      <c r="P86" s="108"/>
      <c r="Q86" s="108"/>
      <c r="R86" s="107"/>
      <c r="S86" s="108"/>
      <c r="T86" s="108"/>
      <c r="U86" s="108"/>
      <c r="V86" s="108"/>
      <c r="W86" s="108"/>
      <c r="AN86" s="0"/>
    </row>
    <row r="87" customFormat="false" ht="12.75" hidden="false" customHeight="false" outlineLevel="0" collapsed="false">
      <c r="A87" s="107"/>
      <c r="B87" s="108"/>
      <c r="C87" s="108"/>
      <c r="D87" s="108"/>
      <c r="E87" s="108"/>
      <c r="F87" s="107"/>
      <c r="G87" s="108"/>
      <c r="H87" s="108"/>
      <c r="I87" s="108"/>
      <c r="J87" s="108"/>
      <c r="K87" s="108"/>
      <c r="L87" s="107"/>
      <c r="M87" s="108"/>
      <c r="N87" s="108"/>
      <c r="O87" s="108"/>
      <c r="P87" s="108"/>
      <c r="Q87" s="108"/>
      <c r="R87" s="107"/>
      <c r="S87" s="108"/>
      <c r="T87" s="108"/>
      <c r="U87" s="108"/>
      <c r="V87" s="108"/>
      <c r="W87" s="108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7"/>
      <c r="G88" s="108"/>
      <c r="H88" s="108"/>
      <c r="I88" s="108"/>
      <c r="J88" s="108"/>
      <c r="K88" s="108"/>
      <c r="L88" s="107"/>
      <c r="M88" s="108"/>
      <c r="N88" s="108"/>
      <c r="O88" s="108"/>
      <c r="P88" s="108"/>
      <c r="Q88" s="108"/>
      <c r="R88" s="107"/>
      <c r="S88" s="108"/>
      <c r="T88" s="108"/>
      <c r="U88" s="108"/>
      <c r="V88" s="108"/>
      <c r="W88" s="108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7"/>
      <c r="G89" s="108"/>
      <c r="H89" s="108"/>
      <c r="I89" s="108"/>
      <c r="J89" s="108"/>
      <c r="K89" s="108"/>
      <c r="L89" s="107"/>
      <c r="M89" s="108"/>
      <c r="N89" s="108"/>
      <c r="O89" s="108"/>
      <c r="P89" s="108"/>
      <c r="Q89" s="108"/>
      <c r="R89" s="107"/>
      <c r="S89" s="108"/>
      <c r="T89" s="108"/>
      <c r="U89" s="108"/>
      <c r="V89" s="108"/>
      <c r="W89" s="108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7"/>
      <c r="G90" s="108"/>
      <c r="H90" s="108"/>
      <c r="I90" s="108"/>
      <c r="J90" s="108"/>
      <c r="K90" s="108"/>
      <c r="L90" s="107"/>
      <c r="M90" s="108"/>
      <c r="N90" s="108"/>
      <c r="O90" s="108"/>
      <c r="P90" s="108"/>
      <c r="Q90" s="108"/>
      <c r="R90" s="107"/>
      <c r="S90" s="108"/>
      <c r="T90" s="108"/>
      <c r="U90" s="108"/>
      <c r="V90" s="108"/>
      <c r="W90" s="108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7"/>
      <c r="G91" s="108"/>
      <c r="H91" s="108"/>
      <c r="I91" s="108"/>
      <c r="J91" s="108"/>
      <c r="K91" s="108"/>
      <c r="L91" s="107"/>
      <c r="M91" s="108"/>
      <c r="N91" s="108"/>
      <c r="O91" s="108"/>
      <c r="P91" s="108"/>
      <c r="Q91" s="108"/>
      <c r="R91" s="107"/>
      <c r="S91" s="108"/>
      <c r="T91" s="108"/>
      <c r="U91" s="108"/>
      <c r="V91" s="108"/>
      <c r="W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7"/>
      <c r="G92" s="108"/>
      <c r="H92" s="108"/>
      <c r="I92" s="108"/>
      <c r="J92" s="108"/>
      <c r="K92" s="108"/>
      <c r="L92" s="107"/>
      <c r="M92" s="108"/>
      <c r="N92" s="108"/>
      <c r="O92" s="108"/>
      <c r="P92" s="108"/>
      <c r="Q92" s="108"/>
      <c r="R92" s="107"/>
      <c r="S92" s="108"/>
      <c r="T92" s="108"/>
      <c r="U92" s="108"/>
      <c r="V92" s="108"/>
      <c r="W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7"/>
      <c r="G93" s="108"/>
      <c r="H93" s="108"/>
      <c r="I93" s="108"/>
      <c r="J93" s="108"/>
      <c r="K93" s="108"/>
      <c r="L93" s="107"/>
      <c r="M93" s="108"/>
      <c r="N93" s="108"/>
      <c r="O93" s="108"/>
      <c r="P93" s="108"/>
      <c r="Q93" s="108"/>
      <c r="R93" s="107"/>
      <c r="S93" s="108"/>
      <c r="T93" s="108"/>
      <c r="U93" s="108"/>
      <c r="V93" s="108"/>
      <c r="W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7"/>
      <c r="G94" s="108"/>
      <c r="H94" s="108"/>
      <c r="I94" s="108"/>
      <c r="J94" s="108"/>
      <c r="K94" s="108"/>
      <c r="L94" s="107"/>
      <c r="M94" s="108"/>
      <c r="N94" s="108"/>
      <c r="O94" s="108"/>
      <c r="P94" s="108"/>
      <c r="Q94" s="108"/>
      <c r="R94" s="107"/>
      <c r="S94" s="108"/>
      <c r="T94" s="108"/>
      <c r="U94" s="108"/>
      <c r="V94" s="108"/>
      <c r="W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7"/>
      <c r="G95" s="108"/>
      <c r="H95" s="108"/>
      <c r="I95" s="108"/>
      <c r="J95" s="108"/>
      <c r="K95" s="108"/>
      <c r="L95" s="107"/>
      <c r="M95" s="108"/>
      <c r="N95" s="108"/>
      <c r="O95" s="108"/>
      <c r="P95" s="108"/>
      <c r="Q95" s="108"/>
      <c r="R95" s="107"/>
      <c r="S95" s="108"/>
      <c r="T95" s="108"/>
      <c r="U95" s="108"/>
      <c r="V95" s="108"/>
      <c r="W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7"/>
      <c r="G96" s="108"/>
      <c r="H96" s="108"/>
      <c r="I96" s="108"/>
      <c r="J96" s="108"/>
      <c r="K96" s="108"/>
      <c r="L96" s="107"/>
      <c r="M96" s="108"/>
      <c r="N96" s="108"/>
      <c r="O96" s="108"/>
      <c r="P96" s="108"/>
      <c r="Q96" s="108"/>
      <c r="R96" s="107"/>
      <c r="S96" s="108"/>
      <c r="T96" s="108"/>
      <c r="U96" s="108"/>
      <c r="V96" s="108"/>
      <c r="W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7"/>
      <c r="G97" s="108"/>
      <c r="H97" s="108"/>
      <c r="I97" s="108"/>
      <c r="J97" s="108"/>
      <c r="K97" s="108"/>
      <c r="L97" s="107"/>
      <c r="M97" s="108"/>
      <c r="N97" s="108"/>
      <c r="O97" s="108"/>
      <c r="P97" s="108"/>
      <c r="Q97" s="108"/>
      <c r="R97" s="107"/>
      <c r="S97" s="108"/>
      <c r="T97" s="108"/>
      <c r="U97" s="108"/>
      <c r="V97" s="108"/>
      <c r="W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7"/>
      <c r="G98" s="108"/>
      <c r="H98" s="108"/>
      <c r="I98" s="108"/>
      <c r="J98" s="108"/>
      <c r="K98" s="108"/>
      <c r="L98" s="107"/>
      <c r="M98" s="108"/>
      <c r="N98" s="108"/>
      <c r="O98" s="108"/>
      <c r="P98" s="108"/>
      <c r="Q98" s="108"/>
      <c r="R98" s="107"/>
      <c r="S98" s="108"/>
      <c r="T98" s="108"/>
      <c r="U98" s="108"/>
      <c r="V98" s="108"/>
      <c r="W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7"/>
      <c r="G99" s="108"/>
      <c r="H99" s="108"/>
      <c r="I99" s="108"/>
      <c r="J99" s="108"/>
      <c r="K99" s="108"/>
      <c r="L99" s="107"/>
      <c r="M99" s="108"/>
      <c r="N99" s="108"/>
      <c r="O99" s="108"/>
      <c r="P99" s="108"/>
      <c r="Q99" s="108"/>
      <c r="R99" s="107"/>
      <c r="S99" s="108"/>
      <c r="T99" s="108"/>
      <c r="U99" s="108"/>
      <c r="V99" s="108"/>
      <c r="W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7"/>
      <c r="G100" s="108"/>
      <c r="H100" s="108"/>
      <c r="I100" s="108"/>
      <c r="J100" s="108"/>
      <c r="K100" s="108"/>
      <c r="L100" s="107"/>
      <c r="M100" s="186"/>
      <c r="N100" s="108"/>
      <c r="O100" s="108"/>
      <c r="P100" s="108"/>
      <c r="Q100" s="108"/>
      <c r="R100" s="107"/>
      <c r="S100" s="186"/>
      <c r="T100" s="108"/>
      <c r="U100" s="108"/>
      <c r="V100" s="108"/>
      <c r="W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7"/>
      <c r="G101" s="108"/>
      <c r="H101" s="108"/>
      <c r="I101" s="108"/>
      <c r="J101" s="108"/>
      <c r="K101" s="108"/>
      <c r="L101" s="107"/>
      <c r="M101" s="108"/>
      <c r="N101" s="108"/>
      <c r="O101" s="108"/>
      <c r="P101" s="108"/>
      <c r="Q101" s="108"/>
      <c r="R101" s="107"/>
      <c r="S101" s="108"/>
      <c r="T101" s="108"/>
      <c r="U101" s="108"/>
      <c r="V101" s="108"/>
      <c r="W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7"/>
      <c r="G102" s="108"/>
      <c r="H102" s="108"/>
      <c r="I102" s="108"/>
      <c r="J102" s="108"/>
      <c r="K102" s="108"/>
      <c r="L102" s="107"/>
      <c r="M102" s="108"/>
      <c r="N102" s="108"/>
      <c r="O102" s="108"/>
      <c r="P102" s="108"/>
      <c r="Q102" s="108"/>
      <c r="R102" s="107"/>
      <c r="S102" s="108"/>
      <c r="T102" s="108"/>
      <c r="U102" s="108"/>
      <c r="V102" s="108"/>
      <c r="W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7"/>
      <c r="G103" s="108"/>
      <c r="H103" s="108"/>
      <c r="I103" s="108"/>
      <c r="J103" s="108"/>
      <c r="K103" s="108"/>
      <c r="L103" s="107"/>
      <c r="M103" s="108"/>
      <c r="N103" s="108"/>
      <c r="O103" s="108"/>
      <c r="P103" s="108"/>
      <c r="Q103" s="108"/>
      <c r="R103" s="107"/>
      <c r="S103" s="108"/>
      <c r="T103" s="108"/>
      <c r="U103" s="108"/>
      <c r="V103" s="108"/>
      <c r="W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7"/>
      <c r="G104" s="108"/>
      <c r="H104" s="108"/>
      <c r="I104" s="108"/>
      <c r="J104" s="108"/>
      <c r="K104" s="108"/>
      <c r="L104" s="107"/>
      <c r="M104" s="108"/>
      <c r="N104" s="108"/>
      <c r="O104" s="108"/>
      <c r="P104" s="108"/>
      <c r="Q104" s="108"/>
      <c r="R104" s="107"/>
      <c r="S104" s="108"/>
      <c r="T104" s="108"/>
      <c r="U104" s="108"/>
      <c r="V104" s="108"/>
      <c r="W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7"/>
      <c r="G105" s="108"/>
      <c r="H105" s="108"/>
      <c r="I105" s="108"/>
      <c r="J105" s="108"/>
      <c r="K105" s="108"/>
      <c r="L105" s="107"/>
      <c r="M105" s="108"/>
      <c r="N105" s="108"/>
      <c r="O105" s="108"/>
      <c r="P105" s="108"/>
      <c r="Q105" s="108"/>
      <c r="R105" s="107"/>
      <c r="S105" s="108"/>
      <c r="T105" s="108"/>
      <c r="U105" s="108"/>
      <c r="V105" s="108"/>
      <c r="W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7"/>
      <c r="G106" s="108"/>
      <c r="H106" s="108"/>
      <c r="I106" s="108"/>
      <c r="J106" s="108"/>
      <c r="K106" s="108"/>
      <c r="L106" s="107"/>
      <c r="M106" s="108"/>
      <c r="N106" s="108"/>
      <c r="O106" s="108"/>
      <c r="P106" s="108"/>
      <c r="Q106" s="108"/>
      <c r="R106" s="107"/>
      <c r="S106" s="108"/>
      <c r="T106" s="108"/>
      <c r="U106" s="108"/>
      <c r="V106" s="108"/>
      <c r="W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7"/>
      <c r="G107" s="108"/>
      <c r="H107" s="108"/>
      <c r="I107" s="108"/>
      <c r="J107" s="108"/>
      <c r="K107" s="108"/>
      <c r="L107" s="107"/>
      <c r="M107" s="108"/>
      <c r="N107" s="108"/>
      <c r="O107" s="108"/>
      <c r="P107" s="108"/>
      <c r="Q107" s="108"/>
      <c r="R107" s="107"/>
      <c r="S107" s="108"/>
      <c r="T107" s="108"/>
      <c r="U107" s="108"/>
      <c r="V107" s="108"/>
      <c r="W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7"/>
      <c r="G108" s="108"/>
      <c r="H108" s="108"/>
      <c r="I108" s="108"/>
      <c r="J108" s="108"/>
      <c r="K108" s="108"/>
      <c r="L108" s="107"/>
      <c r="M108" s="108"/>
      <c r="N108" s="108"/>
      <c r="O108" s="108"/>
      <c r="P108" s="108"/>
      <c r="Q108" s="108"/>
      <c r="R108" s="107"/>
      <c r="S108" s="108"/>
      <c r="T108" s="108"/>
      <c r="U108" s="108"/>
      <c r="V108" s="108"/>
      <c r="W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7"/>
      <c r="G109" s="108"/>
      <c r="H109" s="108"/>
      <c r="I109" s="108"/>
      <c r="J109" s="108"/>
      <c r="K109" s="108"/>
      <c r="L109" s="107"/>
      <c r="M109" s="108"/>
      <c r="N109" s="108"/>
      <c r="O109" s="108"/>
      <c r="P109" s="108"/>
      <c r="Q109" s="108"/>
      <c r="R109" s="107"/>
      <c r="S109" s="108"/>
      <c r="T109" s="108"/>
      <c r="U109" s="108"/>
      <c r="V109" s="108"/>
      <c r="W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7"/>
      <c r="G110" s="108"/>
      <c r="H110" s="108"/>
      <c r="I110" s="108"/>
      <c r="J110" s="108"/>
      <c r="K110" s="108"/>
      <c r="L110" s="107"/>
      <c r="M110" s="108"/>
      <c r="N110" s="108"/>
      <c r="O110" s="108"/>
      <c r="P110" s="108"/>
      <c r="Q110" s="108"/>
      <c r="R110" s="107"/>
      <c r="S110" s="108"/>
      <c r="T110" s="108"/>
      <c r="U110" s="108"/>
      <c r="V110" s="108"/>
      <c r="W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7"/>
      <c r="G111" s="108"/>
      <c r="H111" s="108"/>
      <c r="I111" s="108"/>
      <c r="J111" s="108"/>
      <c r="K111" s="108"/>
      <c r="L111" s="107"/>
      <c r="M111" s="108"/>
      <c r="N111" s="108"/>
      <c r="O111" s="108"/>
      <c r="P111" s="108"/>
      <c r="Q111" s="108"/>
      <c r="R111" s="107"/>
      <c r="S111" s="108"/>
      <c r="T111" s="108"/>
      <c r="U111" s="108"/>
      <c r="V111" s="108"/>
      <c r="W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7"/>
      <c r="G112" s="108"/>
      <c r="H112" s="108"/>
      <c r="I112" s="108"/>
      <c r="J112" s="108"/>
      <c r="K112" s="108"/>
      <c r="L112" s="107"/>
      <c r="M112" s="108"/>
      <c r="N112" s="108"/>
      <c r="O112" s="108"/>
      <c r="P112" s="108"/>
      <c r="Q112" s="108"/>
      <c r="R112" s="107"/>
      <c r="S112" s="108"/>
      <c r="T112" s="108"/>
      <c r="U112" s="108"/>
      <c r="V112" s="108"/>
      <c r="W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7"/>
      <c r="G113" s="108"/>
      <c r="H113" s="108"/>
      <c r="I113" s="108"/>
      <c r="J113" s="108"/>
      <c r="K113" s="108"/>
      <c r="L113" s="107"/>
      <c r="M113" s="108"/>
      <c r="N113" s="108"/>
      <c r="O113" s="108"/>
      <c r="P113" s="108"/>
      <c r="Q113" s="108"/>
      <c r="R113" s="107"/>
      <c r="S113" s="108"/>
      <c r="T113" s="108"/>
      <c r="U113" s="108"/>
      <c r="V113" s="108"/>
      <c r="W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7"/>
      <c r="G114" s="108"/>
      <c r="H114" s="108"/>
      <c r="I114" s="108"/>
      <c r="J114" s="108"/>
      <c r="K114" s="108"/>
      <c r="L114" s="107"/>
      <c r="M114" s="108"/>
      <c r="N114" s="108"/>
      <c r="O114" s="108"/>
      <c r="P114" s="108"/>
      <c r="Q114" s="108"/>
      <c r="R114" s="107"/>
      <c r="S114" s="108"/>
      <c r="T114" s="108"/>
      <c r="U114" s="108"/>
      <c r="V114" s="108"/>
      <c r="W114" s="108"/>
    </row>
    <row r="115" customFormat="false" ht="12.75" hidden="false" customHeight="false" outlineLevel="0" collapsed="false">
      <c r="A115" s="211"/>
      <c r="C115" s="120"/>
      <c r="D115" s="120"/>
      <c r="E115" s="120"/>
      <c r="F115" s="211"/>
      <c r="H115" s="120"/>
      <c r="J115" s="120"/>
      <c r="K115" s="120"/>
      <c r="L115" s="211"/>
      <c r="N115" s="120"/>
      <c r="P115" s="120"/>
      <c r="Q115" s="120"/>
      <c r="R115" s="211"/>
      <c r="T115" s="120"/>
      <c r="V115" s="120"/>
      <c r="W115" s="120"/>
    </row>
    <row r="116" customFormat="false" ht="12.75" hidden="false" customHeight="false" outlineLevel="0" collapsed="false">
      <c r="A116" s="211"/>
      <c r="B116" s="19"/>
      <c r="C116" s="108"/>
      <c r="D116" s="108"/>
      <c r="E116" s="120"/>
      <c r="F116" s="152"/>
      <c r="G116" s="19"/>
      <c r="H116" s="108"/>
      <c r="I116" s="108"/>
      <c r="J116" s="108"/>
      <c r="K116" s="120"/>
      <c r="L116" s="152"/>
      <c r="M116" s="19"/>
      <c r="N116" s="108"/>
      <c r="O116" s="108"/>
      <c r="P116" s="108"/>
      <c r="Q116" s="120"/>
      <c r="R116" s="152"/>
      <c r="S116" s="19"/>
      <c r="T116" s="108"/>
      <c r="U116" s="108"/>
      <c r="V116" s="108"/>
      <c r="W116" s="120"/>
    </row>
    <row r="117" customFormat="false" ht="12.75" hidden="false" customHeight="false" outlineLevel="0" collapsed="false">
      <c r="A117" s="134"/>
      <c r="C117" s="120"/>
      <c r="D117" s="120"/>
      <c r="E117" s="120"/>
      <c r="F117" s="134"/>
      <c r="H117" s="120"/>
      <c r="I117" s="63"/>
      <c r="J117" s="120"/>
      <c r="K117" s="120"/>
      <c r="L117" s="134"/>
      <c r="N117" s="120"/>
      <c r="O117" s="63"/>
      <c r="P117" s="120"/>
      <c r="Q117" s="120"/>
      <c r="R117" s="134"/>
      <c r="T117" s="120"/>
      <c r="U117" s="63"/>
      <c r="V117" s="120"/>
      <c r="W117" s="120"/>
    </row>
    <row r="118" customFormat="false" ht="12.75" hidden="false" customHeight="false" outlineLevel="0" collapsed="false">
      <c r="A118" s="134"/>
    </row>
    <row r="119" customFormat="false" ht="12.75" hidden="false" customHeight="false" outlineLevel="0" collapsed="false">
      <c r="A119" s="134"/>
      <c r="G119" s="30"/>
      <c r="J119" s="30"/>
    </row>
    <row r="120" customFormat="false" ht="12.75" hidden="false" customHeight="false" outlineLevel="0" collapsed="false">
      <c r="A120" s="134"/>
      <c r="P120" s="63"/>
    </row>
    <row r="121" customFormat="false" ht="12.75" hidden="false" customHeight="false" outlineLevel="0" collapsed="false">
      <c r="A121" s="134"/>
      <c r="G121" s="137"/>
      <c r="J121" s="137"/>
      <c r="R121" s="160"/>
      <c r="S121" s="157"/>
      <c r="T121" s="108"/>
      <c r="U121" s="108"/>
      <c r="V121" s="108"/>
    </row>
    <row r="122" customFormat="false" ht="12.75" hidden="false" customHeight="false" outlineLevel="0" collapsed="false">
      <c r="A122" s="134"/>
      <c r="Q122" s="100"/>
      <c r="S122" s="98"/>
      <c r="V122" s="188"/>
      <c r="W122" s="100"/>
      <c r="X122" s="188"/>
      <c r="Y122" s="100"/>
      <c r="Z122" s="0"/>
      <c r="AA122" s="173"/>
    </row>
    <row r="123" customFormat="false" ht="12.75" hidden="false" customHeight="false" outlineLevel="0" collapsed="false">
      <c r="A123" s="134"/>
      <c r="Q123" s="101"/>
      <c r="R123" s="75"/>
      <c r="S123" s="101"/>
      <c r="T123" s="101"/>
      <c r="U123" s="190"/>
      <c r="V123" s="101"/>
      <c r="W123" s="101"/>
      <c r="X123" s="101"/>
      <c r="Y123" s="101"/>
      <c r="Z123" s="190"/>
      <c r="AA123" s="173"/>
    </row>
    <row r="124" customFormat="false" ht="12.75" hidden="false" customHeight="false" outlineLevel="0" collapsed="false">
      <c r="A124" s="134"/>
      <c r="Q124" s="108"/>
      <c r="R124" s="107"/>
      <c r="S124" s="108"/>
      <c r="T124" s="108"/>
      <c r="U124" s="108"/>
      <c r="V124" s="108"/>
      <c r="W124" s="108"/>
      <c r="X124" s="108"/>
      <c r="Y124" s="108"/>
      <c r="Z124" s="108"/>
      <c r="AA124" s="108"/>
    </row>
    <row r="125" customFormat="false" ht="12.75" hidden="false" customHeight="false" outlineLevel="0" collapsed="false">
      <c r="A125" s="134"/>
      <c r="Q125" s="108"/>
      <c r="R125" s="107"/>
      <c r="S125" s="108"/>
      <c r="T125" s="108"/>
      <c r="U125" s="108"/>
      <c r="V125" s="108"/>
      <c r="W125" s="108"/>
      <c r="X125" s="108"/>
      <c r="Y125" s="108"/>
      <c r="Z125" s="108"/>
      <c r="AA125" s="108"/>
    </row>
    <row r="126" customFormat="false" ht="12.75" hidden="false" customHeight="false" outlineLevel="0" collapsed="false">
      <c r="A126" s="134"/>
      <c r="Q126" s="108"/>
      <c r="R126" s="107"/>
      <c r="S126" s="108"/>
      <c r="T126" s="108"/>
      <c r="U126" s="108"/>
      <c r="V126" s="108"/>
      <c r="W126" s="108"/>
      <c r="X126" s="108"/>
      <c r="Y126" s="108"/>
      <c r="Z126" s="108"/>
      <c r="AA126" s="108"/>
    </row>
    <row r="127" customFormat="false" ht="12.75" hidden="false" customHeight="false" outlineLevel="0" collapsed="false">
      <c r="A127" s="134"/>
      <c r="Q127" s="108"/>
      <c r="R127" s="107"/>
      <c r="S127" s="108"/>
      <c r="T127" s="108"/>
      <c r="U127" s="108"/>
      <c r="V127" s="108"/>
      <c r="W127" s="108"/>
      <c r="X127" s="108"/>
      <c r="Y127" s="108"/>
      <c r="Z127" s="108"/>
      <c r="AA127" s="108"/>
    </row>
    <row r="128" customFormat="false" ht="12.75" hidden="false" customHeight="false" outlineLevel="0" collapsed="false">
      <c r="A128" s="134"/>
      <c r="Q128" s="108"/>
      <c r="R128" s="107"/>
      <c r="S128" s="108"/>
      <c r="T128" s="108"/>
      <c r="U128" s="108"/>
      <c r="V128" s="108"/>
      <c r="W128" s="108"/>
      <c r="X128" s="108"/>
      <c r="Y128" s="108"/>
      <c r="Z128" s="108"/>
      <c r="AA128" s="108"/>
    </row>
    <row r="129" customFormat="false" ht="12.75" hidden="false" customHeight="false" outlineLevel="0" collapsed="false">
      <c r="A129" s="134"/>
      <c r="Q129" s="108"/>
      <c r="R129" s="107"/>
      <c r="S129" s="108"/>
      <c r="T129" s="108"/>
      <c r="U129" s="108"/>
      <c r="V129" s="108"/>
      <c r="W129" s="108"/>
      <c r="X129" s="108"/>
      <c r="Y129" s="108"/>
      <c r="Z129" s="108"/>
      <c r="AA129" s="108"/>
    </row>
    <row r="130" customFormat="false" ht="12.75" hidden="false" customHeight="false" outlineLevel="0" collapsed="false">
      <c r="Q130" s="108"/>
      <c r="R130" s="107"/>
      <c r="S130" s="108"/>
      <c r="T130" s="108"/>
      <c r="U130" s="108"/>
      <c r="V130" s="108"/>
      <c r="W130" s="108"/>
      <c r="X130" s="108"/>
      <c r="Y130" s="108"/>
      <c r="Z130" s="108"/>
      <c r="AA130" s="108"/>
    </row>
    <row r="131" customFormat="false" ht="12.75" hidden="false" customHeight="false" outlineLevel="0" collapsed="false">
      <c r="Q131" s="108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</row>
    <row r="132" customFormat="false" ht="12.75" hidden="false" customHeight="false" outlineLevel="0" collapsed="false">
      <c r="Q132" s="108"/>
      <c r="R132" s="107"/>
      <c r="S132" s="108"/>
      <c r="T132" s="108"/>
      <c r="U132" s="108"/>
      <c r="V132" s="108"/>
      <c r="W132" s="108"/>
      <c r="X132" s="108"/>
      <c r="Y132" s="108"/>
      <c r="Z132" s="108"/>
      <c r="AA132" s="108"/>
    </row>
    <row r="133" customFormat="false" ht="12.75" hidden="false" customHeight="false" outlineLevel="0" collapsed="false">
      <c r="Q133" s="108"/>
      <c r="R133" s="107"/>
      <c r="S133" s="108"/>
      <c r="T133" s="108"/>
      <c r="U133" s="108"/>
      <c r="V133" s="108"/>
      <c r="W133" s="108"/>
      <c r="X133" s="108"/>
      <c r="Y133" s="108"/>
      <c r="Z133" s="108"/>
      <c r="AA133" s="108"/>
    </row>
    <row r="134" customFormat="false" ht="12.75" hidden="false" customHeight="false" outlineLevel="0" collapsed="false">
      <c r="Q134" s="108"/>
      <c r="R134" s="107"/>
      <c r="S134" s="108"/>
      <c r="T134" s="108"/>
      <c r="U134" s="108"/>
      <c r="V134" s="108"/>
      <c r="W134" s="108"/>
      <c r="X134" s="108"/>
      <c r="Y134" s="108"/>
      <c r="Z134" s="108"/>
      <c r="AA134" s="108"/>
    </row>
    <row r="135" customFormat="false" ht="12.75" hidden="false" customHeight="false" outlineLevel="0" collapsed="false">
      <c r="Q135" s="108"/>
      <c r="R135" s="107"/>
      <c r="S135" s="108"/>
      <c r="T135" s="108"/>
      <c r="U135" s="108"/>
      <c r="V135" s="108"/>
      <c r="W135" s="108"/>
      <c r="X135" s="108"/>
      <c r="Y135" s="108"/>
      <c r="Z135" s="108"/>
      <c r="AA135" s="108"/>
    </row>
    <row r="136" customFormat="false" ht="12.75" hidden="false" customHeight="false" outlineLevel="0" collapsed="false">
      <c r="Q136" s="108"/>
      <c r="R136" s="107"/>
      <c r="S136" s="108"/>
      <c r="T136" s="108"/>
      <c r="U136" s="108"/>
      <c r="V136" s="108"/>
      <c r="W136" s="108"/>
      <c r="X136" s="108"/>
      <c r="Y136" s="108"/>
      <c r="Z136" s="108"/>
      <c r="AA136" s="108"/>
    </row>
    <row r="137" customFormat="false" ht="12.75" hidden="false" customHeight="false" outlineLevel="0" collapsed="false">
      <c r="Q137" s="108"/>
      <c r="R137" s="107"/>
      <c r="S137" s="108"/>
      <c r="T137" s="108"/>
      <c r="U137" s="108"/>
      <c r="V137" s="108"/>
      <c r="W137" s="108"/>
      <c r="X137" s="108"/>
      <c r="Y137" s="108"/>
      <c r="Z137" s="108"/>
      <c r="AA137" s="108"/>
    </row>
    <row r="138" customFormat="false" ht="12.75" hidden="false" customHeight="false" outlineLevel="0" collapsed="false">
      <c r="Q138" s="108"/>
      <c r="R138" s="107"/>
      <c r="S138" s="108"/>
      <c r="T138" s="108"/>
      <c r="U138" s="108"/>
      <c r="V138" s="108"/>
      <c r="W138" s="108"/>
      <c r="X138" s="108"/>
      <c r="Y138" s="108"/>
      <c r="Z138" s="108"/>
      <c r="AA138" s="108"/>
    </row>
    <row r="139" customFormat="false" ht="12.75" hidden="false" customHeight="false" outlineLevel="0" collapsed="false">
      <c r="Q139" s="108"/>
      <c r="R139" s="107"/>
      <c r="S139" s="108"/>
      <c r="T139" s="108"/>
      <c r="U139" s="108"/>
      <c r="V139" s="108"/>
      <c r="W139" s="108"/>
      <c r="X139" s="108"/>
      <c r="Y139" s="108"/>
      <c r="Z139" s="108"/>
      <c r="AA139" s="108"/>
    </row>
    <row r="140" customFormat="false" ht="12.75" hidden="false" customHeight="false" outlineLevel="0" collapsed="false">
      <c r="Q140" s="108"/>
      <c r="R140" s="107"/>
      <c r="S140" s="108"/>
      <c r="T140" s="108"/>
      <c r="U140" s="108"/>
      <c r="V140" s="108"/>
      <c r="W140" s="108"/>
      <c r="X140" s="108"/>
      <c r="Y140" s="108"/>
      <c r="Z140" s="108"/>
      <c r="AA140" s="108"/>
    </row>
    <row r="141" customFormat="false" ht="12.75" hidden="false" customHeight="false" outlineLevel="0" collapsed="false">
      <c r="Q141" s="108"/>
      <c r="R141" s="107"/>
      <c r="S141" s="108"/>
      <c r="T141" s="108"/>
      <c r="U141" s="108"/>
      <c r="V141" s="108"/>
      <c r="W141" s="108"/>
      <c r="X141" s="108"/>
      <c r="Y141" s="108"/>
      <c r="Z141" s="108"/>
      <c r="AA141" s="108"/>
    </row>
    <row r="142" customFormat="false" ht="12.75" hidden="false" customHeight="false" outlineLevel="0" collapsed="false">
      <c r="Q142" s="108"/>
      <c r="R142" s="107"/>
      <c r="S142" s="108"/>
      <c r="T142" s="108"/>
      <c r="U142" s="108"/>
      <c r="V142" s="108"/>
      <c r="W142" s="108"/>
      <c r="X142" s="108"/>
      <c r="Y142" s="108"/>
      <c r="Z142" s="108"/>
      <c r="AA142" s="108"/>
    </row>
    <row r="143" customFormat="false" ht="12.75" hidden="false" customHeight="false" outlineLevel="0" collapsed="false">
      <c r="Q143" s="108"/>
      <c r="R143" s="107"/>
      <c r="S143" s="108"/>
      <c r="T143" s="108"/>
      <c r="U143" s="108"/>
      <c r="V143" s="108"/>
      <c r="W143" s="108"/>
      <c r="X143" s="108"/>
      <c r="Y143" s="108"/>
      <c r="Z143" s="108"/>
      <c r="AA143" s="108"/>
    </row>
    <row r="144" customFormat="false" ht="12.75" hidden="false" customHeight="false" outlineLevel="0" collapsed="false">
      <c r="Q144" s="108"/>
      <c r="R144" s="107"/>
      <c r="S144" s="108"/>
      <c r="T144" s="108"/>
      <c r="U144" s="108"/>
      <c r="V144" s="108"/>
      <c r="W144" s="108"/>
      <c r="X144" s="108"/>
      <c r="Y144" s="108"/>
      <c r="Z144" s="108"/>
      <c r="AA144" s="108"/>
    </row>
    <row r="145" customFormat="false" ht="12.75" hidden="false" customHeight="false" outlineLevel="0" collapsed="false">
      <c r="Q145" s="108"/>
      <c r="R145" s="107"/>
      <c r="S145" s="108"/>
      <c r="T145" s="108"/>
      <c r="U145" s="108"/>
      <c r="V145" s="108"/>
      <c r="W145" s="108"/>
      <c r="X145" s="108"/>
      <c r="Y145" s="108"/>
      <c r="Z145" s="108"/>
      <c r="AA145" s="108"/>
    </row>
    <row r="146" customFormat="false" ht="12.75" hidden="false" customHeight="false" outlineLevel="0" collapsed="false">
      <c r="Q146" s="108"/>
      <c r="R146" s="107"/>
      <c r="S146" s="108"/>
      <c r="T146" s="108"/>
      <c r="U146" s="108"/>
      <c r="V146" s="108"/>
      <c r="W146" s="108"/>
      <c r="X146" s="108"/>
      <c r="Y146" s="108"/>
      <c r="Z146" s="108"/>
      <c r="AA146" s="108"/>
    </row>
    <row r="147" customFormat="false" ht="12.75" hidden="false" customHeight="false" outlineLevel="0" collapsed="false">
      <c r="Q147" s="108"/>
      <c r="R147" s="107"/>
      <c r="S147" s="108"/>
      <c r="T147" s="108"/>
      <c r="U147" s="108"/>
      <c r="V147" s="108"/>
      <c r="W147" s="108"/>
      <c r="X147" s="108"/>
      <c r="Y147" s="108"/>
      <c r="Z147" s="108"/>
      <c r="AA147" s="108"/>
    </row>
    <row r="148" customFormat="false" ht="12.75" hidden="false" customHeight="false" outlineLevel="0" collapsed="false">
      <c r="Q148" s="108"/>
      <c r="R148" s="107"/>
      <c r="S148" s="108"/>
      <c r="T148" s="108"/>
      <c r="U148" s="108"/>
      <c r="V148" s="108"/>
      <c r="W148" s="108"/>
      <c r="X148" s="108"/>
      <c r="Y148" s="108"/>
      <c r="Z148" s="108"/>
      <c r="AA148" s="108"/>
    </row>
    <row r="149" customFormat="false" ht="12.75" hidden="false" customHeight="false" outlineLevel="0" collapsed="false">
      <c r="Q149" s="108"/>
      <c r="R149" s="107"/>
      <c r="S149" s="108"/>
      <c r="T149" s="108"/>
      <c r="U149" s="108"/>
      <c r="V149" s="108"/>
      <c r="W149" s="108"/>
      <c r="X149" s="108"/>
      <c r="Y149" s="108"/>
      <c r="Z149" s="108"/>
      <c r="AA149" s="108"/>
    </row>
    <row r="150" customFormat="false" ht="12.75" hidden="false" customHeight="false" outlineLevel="0" collapsed="false">
      <c r="Q150" s="108"/>
      <c r="R150" s="107"/>
      <c r="S150" s="108"/>
      <c r="T150" s="108"/>
      <c r="U150" s="108"/>
      <c r="V150" s="108"/>
      <c r="W150" s="108"/>
      <c r="X150" s="108"/>
      <c r="Y150" s="108"/>
      <c r="Z150" s="108"/>
      <c r="AA150" s="108"/>
    </row>
    <row r="151" customFormat="false" ht="12.75" hidden="false" customHeight="false" outlineLevel="0" collapsed="false">
      <c r="Q151" s="108"/>
      <c r="R151" s="107"/>
      <c r="S151" s="108"/>
      <c r="T151" s="108"/>
      <c r="U151" s="108"/>
      <c r="V151" s="108"/>
      <c r="W151" s="108"/>
      <c r="X151" s="108"/>
      <c r="Y151" s="108"/>
      <c r="Z151" s="108"/>
      <c r="AA151" s="108"/>
    </row>
    <row r="152" customFormat="false" ht="12.75" hidden="false" customHeight="false" outlineLevel="0" collapsed="false">
      <c r="Q152" s="108"/>
      <c r="R152" s="107"/>
      <c r="S152" s="108"/>
      <c r="T152" s="108"/>
      <c r="U152" s="108"/>
      <c r="V152" s="108"/>
      <c r="W152" s="108"/>
      <c r="X152" s="108"/>
      <c r="Y152" s="108"/>
      <c r="Z152" s="108"/>
      <c r="AA152" s="108"/>
    </row>
    <row r="153" customFormat="false" ht="12.75" hidden="false" customHeight="false" outlineLevel="0" collapsed="false">
      <c r="Q153" s="108"/>
      <c r="R153" s="107"/>
      <c r="S153" s="108"/>
      <c r="T153" s="108"/>
      <c r="U153" s="108"/>
      <c r="V153" s="108"/>
      <c r="W153" s="108"/>
      <c r="X153" s="108"/>
      <c r="Y153" s="108"/>
      <c r="Z153" s="108"/>
      <c r="AA153" s="108"/>
    </row>
    <row r="154" customFormat="false" ht="12.75" hidden="false" customHeight="false" outlineLevel="0" collapsed="false">
      <c r="Q154" s="108"/>
      <c r="R154" s="107"/>
      <c r="S154" s="108"/>
      <c r="T154" s="108"/>
      <c r="U154" s="108"/>
      <c r="V154" s="108"/>
      <c r="W154" s="108"/>
      <c r="X154" s="108"/>
      <c r="Y154" s="108"/>
      <c r="Z154" s="108"/>
      <c r="AA154" s="108"/>
    </row>
    <row r="155" customFormat="false" ht="12.75" hidden="false" customHeight="false" outlineLevel="0" collapsed="false">
      <c r="Q155" s="108"/>
      <c r="R155" s="107"/>
      <c r="S155" s="108"/>
      <c r="T155" s="108"/>
      <c r="U155" s="137"/>
      <c r="V155" s="108"/>
      <c r="W155" s="108"/>
      <c r="X155" s="108"/>
      <c r="Y155" s="108"/>
      <c r="Z155" s="108"/>
      <c r="AA155" s="108"/>
    </row>
    <row r="156" customFormat="false" ht="12.75" hidden="false" customHeight="false" outlineLevel="0" collapsed="false">
      <c r="Q156" s="120"/>
      <c r="R156" s="152"/>
      <c r="S156" s="19"/>
      <c r="U156" s="108"/>
      <c r="V156" s="108"/>
      <c r="W156" s="108"/>
      <c r="X156" s="108"/>
      <c r="Y156" s="108"/>
      <c r="Z156" s="108"/>
      <c r="AA156" s="120"/>
    </row>
    <row r="157" customFormat="false" ht="12.75" hidden="false" customHeight="false" outlineLevel="0" collapsed="false">
      <c r="Q157" s="120"/>
      <c r="R157" s="152"/>
      <c r="S157" s="19"/>
      <c r="U157" s="213"/>
      <c r="V157" s="63"/>
      <c r="W157" s="120"/>
      <c r="X157" s="63"/>
      <c r="Y157" s="120"/>
      <c r="Z157" s="213"/>
      <c r="AA157" s="213"/>
    </row>
    <row r="158" customFormat="false" ht="12.75" hidden="false" customHeight="false" outlineLevel="0" collapsed="false">
      <c r="Q158" s="120"/>
      <c r="Z158" s="0"/>
      <c r="AA158" s="0"/>
    </row>
    <row r="159" customFormat="false" ht="12.75" hidden="false" customHeight="false" outlineLevel="0" collapsed="false">
      <c r="R159" s="160"/>
      <c r="S159" s="157"/>
      <c r="T159" s="108"/>
      <c r="U159" s="108"/>
      <c r="V159" s="108"/>
    </row>
    <row r="160" customFormat="false" ht="12.75" hidden="false" customHeight="false" outlineLevel="0" collapsed="false">
      <c r="S160" s="98"/>
      <c r="V160" s="188"/>
      <c r="W160" s="100"/>
      <c r="X160" s="188"/>
      <c r="Y160" s="100"/>
      <c r="Z160" s="0"/>
      <c r="AA160" s="173"/>
    </row>
    <row r="161" customFormat="false" ht="12.75" hidden="false" customHeight="false" outlineLevel="0" collapsed="false">
      <c r="R161" s="75"/>
      <c r="S161" s="101"/>
      <c r="T161" s="101"/>
      <c r="U161" s="190"/>
      <c r="V161" s="101"/>
      <c r="W161" s="101"/>
      <c r="X161" s="101"/>
      <c r="Y161" s="101"/>
      <c r="Z161" s="190"/>
      <c r="AA161" s="173"/>
    </row>
    <row r="162" customFormat="false" ht="12.75" hidden="false" customHeight="false" outlineLevel="0" collapsed="false">
      <c r="R162" s="107"/>
      <c r="S162" s="108"/>
      <c r="T162" s="108"/>
      <c r="U162" s="108"/>
      <c r="V162" s="108"/>
      <c r="W162" s="108"/>
      <c r="X162" s="108"/>
      <c r="Y162" s="108"/>
      <c r="Z162" s="108"/>
      <c r="AA162" s="108"/>
    </row>
    <row r="163" customFormat="false" ht="12.75" hidden="false" customHeight="false" outlineLevel="0" collapsed="false">
      <c r="R163" s="107"/>
      <c r="S163" s="108"/>
      <c r="T163" s="108"/>
      <c r="U163" s="108"/>
      <c r="V163" s="108"/>
      <c r="W163" s="108"/>
      <c r="X163" s="108"/>
      <c r="Y163" s="108"/>
      <c r="Z163" s="108"/>
      <c r="AA163" s="108"/>
    </row>
    <row r="164" customFormat="false" ht="12.75" hidden="false" customHeight="false" outlineLevel="0" collapsed="false">
      <c r="R164" s="107"/>
      <c r="S164" s="108"/>
      <c r="T164" s="108"/>
      <c r="U164" s="108"/>
      <c r="V164" s="108"/>
      <c r="W164" s="108"/>
      <c r="X164" s="108"/>
      <c r="Y164" s="108"/>
      <c r="Z164" s="108"/>
      <c r="AA164" s="108"/>
    </row>
    <row r="165" customFormat="false" ht="12.75" hidden="false" customHeight="false" outlineLevel="0" collapsed="false">
      <c r="R165" s="107"/>
      <c r="S165" s="108"/>
      <c r="T165" s="108"/>
      <c r="U165" s="108"/>
      <c r="V165" s="108"/>
      <c r="W165" s="108"/>
      <c r="X165" s="108"/>
      <c r="Y165" s="108"/>
      <c r="Z165" s="108"/>
      <c r="AA165" s="108"/>
    </row>
    <row r="166" customFormat="false" ht="12.75" hidden="false" customHeight="false" outlineLevel="0" collapsed="false"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</row>
    <row r="167" customFormat="false" ht="12.75" hidden="false" customHeight="false" outlineLevel="0" collapsed="false">
      <c r="R167" s="107"/>
      <c r="S167" s="108"/>
      <c r="T167" s="108"/>
      <c r="U167" s="108"/>
      <c r="V167" s="108"/>
      <c r="W167" s="108"/>
      <c r="X167" s="108"/>
      <c r="Y167" s="108"/>
      <c r="Z167" s="108"/>
      <c r="AA167" s="108"/>
    </row>
    <row r="168" customFormat="false" ht="12.75" hidden="false" customHeight="false" outlineLevel="0" collapsed="false">
      <c r="R168" s="107"/>
      <c r="S168" s="108"/>
      <c r="T168" s="108"/>
      <c r="U168" s="108"/>
      <c r="V168" s="108"/>
      <c r="W168" s="108"/>
      <c r="X168" s="108"/>
      <c r="Y168" s="108"/>
      <c r="Z168" s="108"/>
      <c r="AA168" s="108"/>
    </row>
    <row r="169" customFormat="false" ht="12.75" hidden="false" customHeight="false" outlineLevel="0" collapsed="false">
      <c r="R169" s="107"/>
      <c r="S169" s="108"/>
      <c r="T169" s="108"/>
      <c r="U169" s="108"/>
      <c r="V169" s="108"/>
      <c r="W169" s="108"/>
      <c r="X169" s="108"/>
      <c r="Y169" s="108"/>
      <c r="Z169" s="108"/>
      <c r="AA169" s="108"/>
    </row>
    <row r="170" customFormat="false" ht="12.75" hidden="false" customHeight="false" outlineLevel="0" collapsed="false">
      <c r="R170" s="107"/>
      <c r="S170" s="108"/>
      <c r="T170" s="108"/>
      <c r="U170" s="108"/>
      <c r="V170" s="108"/>
      <c r="W170" s="108"/>
      <c r="X170" s="108"/>
      <c r="Y170" s="108"/>
      <c r="Z170" s="108"/>
      <c r="AA170" s="108"/>
    </row>
    <row r="171" customFormat="false" ht="12.75" hidden="false" customHeight="false" outlineLevel="0" collapsed="false">
      <c r="R171" s="107"/>
      <c r="S171" s="108"/>
      <c r="T171" s="108"/>
      <c r="U171" s="108"/>
      <c r="V171" s="108"/>
      <c r="W171" s="108"/>
      <c r="X171" s="108"/>
      <c r="Y171" s="108"/>
      <c r="Z171" s="108"/>
      <c r="AA171" s="108"/>
    </row>
    <row r="172" customFormat="false" ht="12.75" hidden="false" customHeight="false" outlineLevel="0" collapsed="false">
      <c r="R172" s="107"/>
      <c r="S172" s="108"/>
      <c r="T172" s="108"/>
      <c r="U172" s="108"/>
      <c r="V172" s="108"/>
      <c r="W172" s="108"/>
      <c r="X172" s="108"/>
      <c r="Y172" s="108"/>
      <c r="Z172" s="108"/>
      <c r="AA172" s="108"/>
    </row>
    <row r="173" customFormat="false" ht="12.75" hidden="false" customHeight="false" outlineLevel="0" collapsed="false">
      <c r="R173" s="107"/>
      <c r="S173" s="108"/>
      <c r="T173" s="108"/>
      <c r="U173" s="108"/>
      <c r="V173" s="108"/>
      <c r="W173" s="108"/>
      <c r="X173" s="108"/>
      <c r="Y173" s="108"/>
      <c r="Z173" s="108"/>
      <c r="AA173" s="108"/>
    </row>
    <row r="174" customFormat="false" ht="12.75" hidden="false" customHeight="false" outlineLevel="0" collapsed="false">
      <c r="R174" s="107"/>
      <c r="S174" s="108"/>
      <c r="T174" s="108"/>
      <c r="U174" s="108"/>
      <c r="V174" s="108"/>
      <c r="W174" s="108"/>
      <c r="X174" s="108"/>
      <c r="Y174" s="108"/>
      <c r="Z174" s="108"/>
      <c r="AA174" s="108"/>
    </row>
    <row r="175" customFormat="false" ht="12.75" hidden="false" customHeight="false" outlineLevel="0" collapsed="false">
      <c r="R175" s="107"/>
      <c r="S175" s="108"/>
      <c r="T175" s="108"/>
      <c r="U175" s="108"/>
      <c r="V175" s="108"/>
      <c r="W175" s="108"/>
      <c r="X175" s="108"/>
      <c r="Y175" s="108"/>
      <c r="Z175" s="108"/>
      <c r="AA175" s="108"/>
    </row>
    <row r="176" customFormat="false" ht="12.75" hidden="false" customHeight="false" outlineLevel="0" collapsed="false">
      <c r="R176" s="107"/>
      <c r="S176" s="108"/>
      <c r="T176" s="108"/>
      <c r="U176" s="108"/>
      <c r="V176" s="108"/>
      <c r="W176" s="108"/>
      <c r="X176" s="108"/>
      <c r="Y176" s="108"/>
      <c r="Z176" s="108"/>
      <c r="AA176" s="108"/>
    </row>
    <row r="177" customFormat="false" ht="12.75" hidden="false" customHeight="false" outlineLevel="0" collapsed="false">
      <c r="R177" s="107"/>
      <c r="S177" s="108"/>
      <c r="T177" s="108"/>
      <c r="U177" s="108"/>
      <c r="V177" s="108"/>
      <c r="W177" s="108"/>
      <c r="X177" s="108"/>
      <c r="Y177" s="108"/>
      <c r="Z177" s="108"/>
      <c r="AA177" s="108"/>
    </row>
    <row r="178" customFormat="false" ht="12.75" hidden="false" customHeight="false" outlineLevel="0" collapsed="false">
      <c r="R178" s="107"/>
      <c r="S178" s="108"/>
      <c r="T178" s="108"/>
      <c r="U178" s="108"/>
      <c r="V178" s="108"/>
      <c r="W178" s="108"/>
      <c r="X178" s="108"/>
      <c r="Y178" s="108"/>
      <c r="Z178" s="108"/>
      <c r="AA178" s="108"/>
    </row>
    <row r="179" customFormat="false" ht="12.75" hidden="false" customHeight="false" outlineLevel="0" collapsed="false">
      <c r="R179" s="107"/>
      <c r="S179" s="108"/>
      <c r="T179" s="108"/>
      <c r="U179" s="108"/>
      <c r="V179" s="108"/>
      <c r="W179" s="108"/>
      <c r="X179" s="108"/>
      <c r="Y179" s="108"/>
      <c r="Z179" s="108"/>
      <c r="AA179" s="108"/>
    </row>
    <row r="180" customFormat="false" ht="12.75" hidden="false" customHeight="false" outlineLevel="0" collapsed="false">
      <c r="R180" s="107"/>
      <c r="S180" s="108"/>
      <c r="T180" s="108"/>
      <c r="U180" s="108"/>
      <c r="V180" s="108"/>
      <c r="W180" s="108"/>
      <c r="X180" s="108"/>
      <c r="Y180" s="108"/>
      <c r="Z180" s="108"/>
      <c r="AA180" s="108"/>
    </row>
    <row r="181" customFormat="false" ht="12.75" hidden="false" customHeight="false" outlineLevel="0" collapsed="false">
      <c r="R181" s="107"/>
      <c r="S181" s="108"/>
      <c r="T181" s="108"/>
      <c r="U181" s="108"/>
      <c r="V181" s="108"/>
      <c r="W181" s="108"/>
      <c r="X181" s="108"/>
      <c r="Y181" s="108"/>
      <c r="Z181" s="108"/>
      <c r="AA181" s="108"/>
    </row>
    <row r="182" customFormat="false" ht="12.75" hidden="false" customHeight="false" outlineLevel="0" collapsed="false">
      <c r="R182" s="107"/>
      <c r="S182" s="108"/>
      <c r="T182" s="108"/>
      <c r="U182" s="108"/>
      <c r="V182" s="108"/>
      <c r="W182" s="108"/>
      <c r="X182" s="108"/>
      <c r="Y182" s="108"/>
      <c r="Z182" s="108"/>
      <c r="AA182" s="108"/>
    </row>
    <row r="183" customFormat="false" ht="12.75" hidden="false" customHeight="false" outlineLevel="0" collapsed="false">
      <c r="R183" s="107"/>
      <c r="S183" s="108"/>
      <c r="T183" s="108"/>
      <c r="U183" s="108"/>
      <c r="V183" s="108"/>
      <c r="W183" s="108"/>
      <c r="X183" s="108"/>
      <c r="Y183" s="108"/>
      <c r="Z183" s="108"/>
      <c r="AA183" s="108"/>
    </row>
    <row r="184" customFormat="false" ht="12.75" hidden="false" customHeight="false" outlineLevel="0" collapsed="false">
      <c r="R184" s="107"/>
      <c r="S184" s="108"/>
      <c r="T184" s="108"/>
      <c r="U184" s="108"/>
      <c r="V184" s="108"/>
      <c r="W184" s="108"/>
      <c r="X184" s="108"/>
      <c r="Y184" s="108"/>
      <c r="Z184" s="108"/>
      <c r="AA184" s="108"/>
    </row>
    <row r="185" customFormat="false" ht="12.75" hidden="false" customHeight="false" outlineLevel="0" collapsed="false">
      <c r="R185" s="107"/>
      <c r="S185" s="108"/>
      <c r="T185" s="108"/>
      <c r="U185" s="108"/>
      <c r="V185" s="108"/>
      <c r="W185" s="108"/>
      <c r="X185" s="108"/>
      <c r="Y185" s="108"/>
      <c r="Z185" s="108"/>
      <c r="AA185" s="108"/>
    </row>
    <row r="186" customFormat="false" ht="12.75" hidden="false" customHeight="false" outlineLevel="0" collapsed="false">
      <c r="R186" s="107"/>
      <c r="S186" s="108"/>
      <c r="T186" s="108"/>
      <c r="U186" s="108"/>
      <c r="V186" s="108"/>
      <c r="W186" s="108"/>
      <c r="X186" s="108"/>
      <c r="Y186" s="108"/>
      <c r="Z186" s="108"/>
      <c r="AA186" s="108"/>
    </row>
    <row r="187" customFormat="false" ht="12.75" hidden="false" customHeight="false" outlineLevel="0" collapsed="false">
      <c r="R187" s="107"/>
      <c r="S187" s="108"/>
      <c r="T187" s="108"/>
      <c r="U187" s="108"/>
      <c r="V187" s="108"/>
      <c r="W187" s="108"/>
      <c r="X187" s="108"/>
      <c r="Y187" s="108"/>
      <c r="Z187" s="108"/>
      <c r="AA187" s="108"/>
    </row>
    <row r="188" customFormat="false" ht="12.75" hidden="false" customHeight="false" outlineLevel="0" collapsed="false">
      <c r="R188" s="107"/>
      <c r="S188" s="108"/>
      <c r="T188" s="108"/>
      <c r="U188" s="108"/>
      <c r="V188" s="108"/>
      <c r="W188" s="108"/>
      <c r="X188" s="108"/>
      <c r="Y188" s="108"/>
      <c r="Z188" s="108"/>
      <c r="AA188" s="108"/>
    </row>
    <row r="189" customFormat="false" ht="12.75" hidden="false" customHeight="false" outlineLevel="0" collapsed="false">
      <c r="R189" s="107"/>
      <c r="S189" s="108"/>
      <c r="T189" s="108"/>
      <c r="U189" s="108"/>
      <c r="V189" s="108"/>
      <c r="W189" s="108"/>
      <c r="X189" s="108"/>
      <c r="Y189" s="108"/>
      <c r="Z189" s="108"/>
      <c r="AA189" s="108"/>
    </row>
    <row r="190" customFormat="false" ht="12.75" hidden="false" customHeight="false" outlineLevel="0" collapsed="false">
      <c r="R190" s="107"/>
      <c r="S190" s="108"/>
      <c r="T190" s="108"/>
      <c r="U190" s="108"/>
      <c r="V190" s="108"/>
      <c r="W190" s="108"/>
      <c r="X190" s="108"/>
      <c r="Y190" s="108"/>
      <c r="Z190" s="108"/>
      <c r="AA190" s="108"/>
    </row>
    <row r="191" customFormat="false" ht="12.75" hidden="false" customHeight="false" outlineLevel="0" collapsed="false">
      <c r="R191" s="107"/>
      <c r="S191" s="108"/>
      <c r="T191" s="108"/>
      <c r="U191" s="108"/>
      <c r="V191" s="108"/>
      <c r="W191" s="108"/>
      <c r="X191" s="108"/>
      <c r="Y191" s="108"/>
      <c r="Z191" s="108"/>
      <c r="AA191" s="108"/>
    </row>
    <row r="192" customFormat="false" ht="12.75" hidden="false" customHeight="false" outlineLevel="0" collapsed="false">
      <c r="R192" s="107"/>
      <c r="S192" s="108"/>
      <c r="T192" s="108"/>
      <c r="U192" s="108"/>
      <c r="V192" s="108"/>
      <c r="W192" s="108"/>
      <c r="X192" s="108"/>
      <c r="Y192" s="108"/>
      <c r="Z192" s="108"/>
      <c r="AA192" s="108"/>
    </row>
    <row r="193" customFormat="false" ht="12.75" hidden="false" customHeight="false" outlineLevel="0" collapsed="false">
      <c r="R193" s="107"/>
      <c r="S193" s="108"/>
      <c r="T193" s="108"/>
      <c r="U193" s="120"/>
      <c r="V193" s="108"/>
      <c r="W193" s="108"/>
      <c r="X193" s="108"/>
      <c r="Y193" s="108"/>
      <c r="Z193" s="108"/>
      <c r="AA193" s="108"/>
    </row>
    <row r="194" customFormat="false" ht="12.75" hidden="false" customHeight="false" outlineLevel="0" collapsed="false">
      <c r="R194" s="152"/>
      <c r="S194" s="19"/>
      <c r="U194" s="108"/>
      <c r="V194" s="108"/>
      <c r="W194" s="108"/>
      <c r="X194" s="108"/>
      <c r="Y194" s="108"/>
      <c r="Z194" s="108"/>
      <c r="AA194" s="120"/>
    </row>
    <row r="195" customFormat="false" ht="12.75" hidden="false" customHeight="false" outlineLevel="0" collapsed="false">
      <c r="R195" s="152"/>
      <c r="S195" s="19"/>
      <c r="U195" s="199"/>
      <c r="V195" s="63"/>
      <c r="W195" s="120"/>
      <c r="X195" s="63"/>
      <c r="Y195" s="120"/>
      <c r="Z195" s="214"/>
      <c r="AA195" s="199"/>
    </row>
    <row r="198" customFormat="false" ht="12.75" hidden="false" customHeight="false" outlineLevel="0" collapsed="false">
      <c r="R198" s="160"/>
      <c r="S198" s="157"/>
      <c r="T198" s="108"/>
      <c r="U198" s="108"/>
      <c r="V198" s="108"/>
    </row>
    <row r="199" customFormat="false" ht="12.75" hidden="false" customHeight="false" outlineLevel="0" collapsed="false">
      <c r="S199" s="98"/>
      <c r="V199" s="188"/>
      <c r="W199" s="100"/>
      <c r="X199" s="188"/>
      <c r="Y199" s="100"/>
      <c r="Z199" s="0"/>
      <c r="AA199" s="173"/>
    </row>
    <row r="200" customFormat="false" ht="12.75" hidden="false" customHeight="false" outlineLevel="0" collapsed="false">
      <c r="R200" s="75"/>
      <c r="S200" s="101"/>
      <c r="T200" s="101"/>
      <c r="U200" s="190"/>
      <c r="V200" s="101"/>
      <c r="W200" s="101"/>
      <c r="X200" s="101"/>
      <c r="Y200" s="101"/>
      <c r="Z200" s="190"/>
      <c r="AA200" s="173"/>
    </row>
    <row r="201" customFormat="false" ht="12.75" hidden="false" customHeight="false" outlineLevel="0" collapsed="false">
      <c r="R201" s="107"/>
      <c r="S201" s="108"/>
      <c r="T201" s="108"/>
      <c r="U201" s="108"/>
      <c r="V201" s="108"/>
      <c r="W201" s="108"/>
      <c r="X201" s="108"/>
      <c r="Y201" s="108"/>
      <c r="Z201" s="108"/>
      <c r="AA201" s="108"/>
    </row>
    <row r="202" customFormat="false" ht="12.75" hidden="false" customHeight="false" outlineLevel="0" collapsed="false">
      <c r="R202" s="107"/>
      <c r="S202" s="108"/>
      <c r="T202" s="108"/>
      <c r="U202" s="108"/>
      <c r="V202" s="108"/>
      <c r="W202" s="108"/>
      <c r="X202" s="108"/>
      <c r="Y202" s="108"/>
      <c r="Z202" s="108"/>
      <c r="AA202" s="108"/>
    </row>
    <row r="203" customFormat="false" ht="12.75" hidden="false" customHeight="false" outlineLevel="0" collapsed="false">
      <c r="R203" s="107"/>
      <c r="S203" s="108"/>
      <c r="T203" s="108"/>
      <c r="U203" s="108"/>
      <c r="V203" s="108"/>
      <c r="W203" s="108"/>
      <c r="X203" s="108"/>
      <c r="Y203" s="108"/>
      <c r="Z203" s="108"/>
      <c r="AA203" s="108"/>
    </row>
    <row r="204" customFormat="false" ht="12.75" hidden="false" customHeight="false" outlineLevel="0" collapsed="false">
      <c r="R204" s="107"/>
      <c r="S204" s="108"/>
      <c r="T204" s="108"/>
      <c r="U204" s="108"/>
      <c r="V204" s="108"/>
      <c r="W204" s="108"/>
      <c r="X204" s="108"/>
      <c r="Y204" s="108"/>
      <c r="Z204" s="108"/>
      <c r="AA204" s="108"/>
    </row>
    <row r="205" customFormat="false" ht="12.75" hidden="false" customHeight="false" outlineLevel="0" collapsed="false">
      <c r="R205" s="107"/>
      <c r="S205" s="108"/>
      <c r="T205" s="108"/>
      <c r="U205" s="108"/>
      <c r="V205" s="108"/>
      <c r="W205" s="108"/>
      <c r="X205" s="108"/>
      <c r="Y205" s="108"/>
      <c r="Z205" s="108"/>
      <c r="AA205" s="108"/>
    </row>
    <row r="206" customFormat="false" ht="12.75" hidden="false" customHeight="false" outlineLevel="0" collapsed="false">
      <c r="R206" s="107"/>
      <c r="S206" s="108"/>
      <c r="T206" s="108"/>
      <c r="U206" s="108"/>
      <c r="V206" s="108"/>
      <c r="W206" s="108"/>
      <c r="X206" s="108"/>
      <c r="Y206" s="108"/>
      <c r="Z206" s="108"/>
      <c r="AA206" s="108"/>
    </row>
    <row r="207" customFormat="false" ht="12.75" hidden="false" customHeight="false" outlineLevel="0" collapsed="false">
      <c r="R207" s="107"/>
      <c r="S207" s="108"/>
      <c r="T207" s="108"/>
      <c r="U207" s="108"/>
      <c r="V207" s="108"/>
      <c r="W207" s="108"/>
      <c r="X207" s="108"/>
      <c r="Y207" s="108"/>
      <c r="Z207" s="108"/>
      <c r="AA207" s="108"/>
    </row>
    <row r="208" customFormat="false" ht="12.75" hidden="false" customHeight="false" outlineLevel="0" collapsed="false">
      <c r="R208" s="107"/>
      <c r="S208" s="108"/>
      <c r="T208" s="108"/>
      <c r="U208" s="108"/>
      <c r="V208" s="108"/>
      <c r="W208" s="108"/>
      <c r="X208" s="108"/>
      <c r="Y208" s="108"/>
      <c r="Z208" s="108"/>
      <c r="AA208" s="108"/>
    </row>
    <row r="209" customFormat="false" ht="12.75" hidden="false" customHeight="false" outlineLevel="0" collapsed="false">
      <c r="R209" s="107"/>
      <c r="S209" s="108"/>
      <c r="T209" s="108"/>
      <c r="U209" s="108"/>
      <c r="V209" s="108"/>
      <c r="W209" s="108"/>
      <c r="X209" s="108"/>
      <c r="Y209" s="108"/>
      <c r="Z209" s="108"/>
      <c r="AA209" s="108"/>
    </row>
    <row r="210" customFormat="false" ht="12.75" hidden="false" customHeight="false" outlineLevel="0" collapsed="false">
      <c r="R210" s="107"/>
      <c r="S210" s="108"/>
      <c r="T210" s="108"/>
      <c r="U210" s="108"/>
      <c r="V210" s="108"/>
      <c r="W210" s="108"/>
      <c r="X210" s="108"/>
      <c r="Y210" s="108"/>
      <c r="Z210" s="108"/>
      <c r="AA210" s="108"/>
    </row>
    <row r="211" customFormat="false" ht="12.75" hidden="false" customHeight="false" outlineLevel="0" collapsed="false">
      <c r="R211" s="107"/>
      <c r="S211" s="108"/>
      <c r="T211" s="108"/>
      <c r="U211" s="108"/>
      <c r="V211" s="108"/>
      <c r="W211" s="108"/>
      <c r="X211" s="108"/>
      <c r="Y211" s="108"/>
      <c r="Z211" s="108"/>
      <c r="AA211" s="108"/>
    </row>
    <row r="212" customFormat="false" ht="12.75" hidden="false" customHeight="false" outlineLevel="0" collapsed="false">
      <c r="R212" s="107"/>
      <c r="S212" s="108"/>
      <c r="T212" s="108"/>
      <c r="U212" s="108"/>
      <c r="V212" s="108"/>
      <c r="W212" s="108"/>
      <c r="X212" s="108"/>
      <c r="Y212" s="108"/>
      <c r="Z212" s="108"/>
      <c r="AA212" s="108"/>
    </row>
    <row r="213" customFormat="false" ht="12.75" hidden="false" customHeight="false" outlineLevel="0" collapsed="false">
      <c r="R213" s="107"/>
      <c r="S213" s="108"/>
      <c r="T213" s="108"/>
      <c r="U213" s="108"/>
      <c r="V213" s="108"/>
      <c r="W213" s="108"/>
      <c r="X213" s="108"/>
      <c r="Y213" s="108"/>
      <c r="Z213" s="108"/>
      <c r="AA213" s="108"/>
    </row>
    <row r="214" customFormat="false" ht="12.75" hidden="false" customHeight="false" outlineLevel="0" collapsed="false">
      <c r="R214" s="107"/>
      <c r="S214" s="108"/>
      <c r="T214" s="108"/>
      <c r="U214" s="108"/>
      <c r="V214" s="108"/>
      <c r="W214" s="108"/>
      <c r="X214" s="108"/>
      <c r="Y214" s="108"/>
      <c r="Z214" s="108"/>
      <c r="AA214" s="108"/>
    </row>
    <row r="215" customFormat="false" ht="12.75" hidden="false" customHeight="false" outlineLevel="0" collapsed="false">
      <c r="R215" s="107"/>
      <c r="S215" s="108"/>
      <c r="T215" s="108"/>
      <c r="U215" s="108"/>
      <c r="V215" s="108"/>
      <c r="W215" s="108"/>
      <c r="X215" s="108"/>
      <c r="Y215" s="108"/>
      <c r="Z215" s="108"/>
      <c r="AA215" s="108"/>
    </row>
    <row r="216" customFormat="false" ht="12.75" hidden="false" customHeight="false" outlineLevel="0" collapsed="false">
      <c r="R216" s="107"/>
      <c r="S216" s="108"/>
      <c r="T216" s="108"/>
      <c r="U216" s="108"/>
      <c r="V216" s="108"/>
      <c r="W216" s="108"/>
      <c r="X216" s="108"/>
      <c r="Y216" s="108"/>
      <c r="Z216" s="108"/>
      <c r="AA216" s="108"/>
    </row>
    <row r="217" customFormat="false" ht="12.75" hidden="false" customHeight="false" outlineLevel="0" collapsed="false">
      <c r="R217" s="107"/>
      <c r="S217" s="108"/>
      <c r="T217" s="108"/>
      <c r="U217" s="108"/>
      <c r="V217" s="108"/>
      <c r="W217" s="108"/>
      <c r="X217" s="108"/>
      <c r="Y217" s="108"/>
      <c r="Z217" s="108"/>
      <c r="AA217" s="108"/>
    </row>
    <row r="218" customFormat="false" ht="12.75" hidden="false" customHeight="false" outlineLevel="0" collapsed="false">
      <c r="R218" s="107"/>
      <c r="S218" s="108"/>
      <c r="T218" s="108"/>
      <c r="U218" s="108"/>
      <c r="V218" s="108"/>
      <c r="W218" s="108"/>
      <c r="X218" s="108"/>
      <c r="Y218" s="108"/>
      <c r="Z218" s="108"/>
      <c r="AA218" s="108"/>
    </row>
    <row r="219" customFormat="false" ht="12.75" hidden="false" customHeight="false" outlineLevel="0" collapsed="false">
      <c r="R219" s="107"/>
      <c r="S219" s="108"/>
      <c r="T219" s="108"/>
      <c r="U219" s="108"/>
      <c r="V219" s="108"/>
      <c r="W219" s="108"/>
      <c r="X219" s="108"/>
      <c r="Y219" s="108"/>
      <c r="Z219" s="108"/>
      <c r="AA219" s="108"/>
    </row>
    <row r="220" customFormat="false" ht="12.75" hidden="false" customHeight="false" outlineLevel="0" collapsed="false">
      <c r="R220" s="107"/>
      <c r="S220" s="108"/>
      <c r="T220" s="108"/>
      <c r="U220" s="108"/>
      <c r="V220" s="108"/>
      <c r="W220" s="108"/>
      <c r="X220" s="108"/>
      <c r="Y220" s="108"/>
      <c r="Z220" s="108"/>
      <c r="AA220" s="108"/>
    </row>
    <row r="221" customFormat="false" ht="12.75" hidden="false" customHeight="false" outlineLevel="0" collapsed="false">
      <c r="R221" s="107"/>
      <c r="S221" s="108"/>
      <c r="T221" s="108"/>
      <c r="U221" s="108"/>
      <c r="V221" s="108"/>
      <c r="W221" s="108"/>
      <c r="X221" s="108"/>
      <c r="Y221" s="108"/>
      <c r="Z221" s="108"/>
      <c r="AA221" s="108"/>
    </row>
    <row r="222" customFormat="false" ht="12.75" hidden="false" customHeight="false" outlineLevel="0" collapsed="false">
      <c r="R222" s="107"/>
      <c r="S222" s="108"/>
      <c r="T222" s="108"/>
      <c r="U222" s="108"/>
      <c r="V222" s="108"/>
      <c r="W222" s="108"/>
      <c r="X222" s="108"/>
      <c r="Y222" s="108"/>
      <c r="Z222" s="108"/>
      <c r="AA222" s="108"/>
    </row>
    <row r="223" customFormat="false" ht="12.75" hidden="false" customHeight="false" outlineLevel="0" collapsed="false">
      <c r="R223" s="107"/>
      <c r="S223" s="108"/>
      <c r="T223" s="108"/>
      <c r="U223" s="108"/>
      <c r="V223" s="108"/>
      <c r="W223" s="108"/>
      <c r="X223" s="108"/>
      <c r="Y223" s="108"/>
      <c r="Z223" s="108"/>
      <c r="AA223" s="108"/>
    </row>
    <row r="224" customFormat="false" ht="12.75" hidden="false" customHeight="false" outlineLevel="0" collapsed="false">
      <c r="R224" s="107"/>
      <c r="S224" s="108"/>
      <c r="T224" s="108"/>
      <c r="U224" s="108"/>
      <c r="V224" s="108"/>
      <c r="W224" s="108"/>
      <c r="X224" s="108"/>
      <c r="Y224" s="108"/>
      <c r="Z224" s="108"/>
      <c r="AA224" s="108"/>
    </row>
    <row r="225" customFormat="false" ht="12.75" hidden="false" customHeight="false" outlineLevel="0" collapsed="false">
      <c r="R225" s="107"/>
      <c r="S225" s="108"/>
      <c r="T225" s="108"/>
      <c r="U225" s="108"/>
      <c r="V225" s="108"/>
      <c r="W225" s="108"/>
      <c r="X225" s="108"/>
      <c r="Y225" s="108"/>
      <c r="Z225" s="108"/>
      <c r="AA225" s="108"/>
    </row>
    <row r="226" customFormat="false" ht="12.75" hidden="false" customHeight="false" outlineLevel="0" collapsed="false">
      <c r="R226" s="107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customFormat="false" ht="12.75" hidden="false" customHeight="false" outlineLevel="0" collapsed="false">
      <c r="R227" s="107"/>
      <c r="S227" s="108"/>
      <c r="T227" s="108"/>
      <c r="U227" s="108"/>
      <c r="V227" s="108"/>
      <c r="W227" s="108"/>
      <c r="X227" s="108"/>
      <c r="Y227" s="108"/>
      <c r="Z227" s="108"/>
      <c r="AA227" s="108"/>
    </row>
    <row r="228" customFormat="false" ht="12.75" hidden="false" customHeight="false" outlineLevel="0" collapsed="false">
      <c r="R228" s="107"/>
      <c r="S228" s="108"/>
      <c r="T228" s="108"/>
      <c r="U228" s="108"/>
      <c r="V228" s="108"/>
      <c r="W228" s="108"/>
      <c r="X228" s="108"/>
      <c r="Y228" s="108"/>
      <c r="Z228" s="108"/>
      <c r="AA228" s="108"/>
    </row>
    <row r="229" customFormat="false" ht="12.75" hidden="false" customHeight="false" outlineLevel="0" collapsed="false">
      <c r="R229" s="107"/>
      <c r="S229" s="108"/>
      <c r="T229" s="108"/>
      <c r="U229" s="108"/>
      <c r="V229" s="108"/>
      <c r="W229" s="108"/>
      <c r="X229" s="108"/>
      <c r="Y229" s="108"/>
      <c r="Z229" s="108"/>
      <c r="AA229" s="108"/>
    </row>
    <row r="230" customFormat="false" ht="12.75" hidden="false" customHeight="false" outlineLevel="0" collapsed="false">
      <c r="R230" s="107"/>
      <c r="S230" s="108"/>
      <c r="T230" s="108"/>
      <c r="U230" s="108"/>
      <c r="V230" s="108"/>
      <c r="W230" s="108"/>
      <c r="X230" s="108"/>
      <c r="Y230" s="108"/>
      <c r="Z230" s="108"/>
      <c r="AA230" s="108"/>
    </row>
    <row r="231" customFormat="false" ht="12.75" hidden="false" customHeight="false" outlineLevel="0" collapsed="false">
      <c r="R231" s="107"/>
      <c r="S231" s="108"/>
      <c r="T231" s="108"/>
      <c r="U231" s="108"/>
      <c r="V231" s="108"/>
      <c r="W231" s="108"/>
      <c r="X231" s="108"/>
      <c r="Y231" s="108"/>
      <c r="Z231" s="108"/>
      <c r="AA231" s="108"/>
    </row>
    <row r="232" customFormat="false" ht="12.75" hidden="false" customHeight="false" outlineLevel="0" collapsed="false">
      <c r="R232" s="107"/>
      <c r="S232" s="108"/>
      <c r="T232" s="108"/>
      <c r="U232" s="120"/>
      <c r="V232" s="108"/>
      <c r="W232" s="108"/>
      <c r="X232" s="108"/>
      <c r="Y232" s="108"/>
      <c r="Z232" s="108"/>
      <c r="AA232" s="108"/>
    </row>
    <row r="233" customFormat="false" ht="12.75" hidden="false" customHeight="false" outlineLevel="0" collapsed="false">
      <c r="R233" s="152"/>
      <c r="S233" s="19"/>
      <c r="U233" s="108"/>
      <c r="V233" s="108"/>
      <c r="W233" s="108"/>
      <c r="X233" s="108"/>
      <c r="Y233" s="108"/>
      <c r="Z233" s="108"/>
      <c r="AA233" s="120"/>
    </row>
    <row r="234" customFormat="false" ht="12.75" hidden="false" customHeight="false" outlineLevel="0" collapsed="false">
      <c r="R234" s="152"/>
      <c r="S234" s="19"/>
      <c r="U234" s="213"/>
      <c r="V234" s="63"/>
      <c r="W234" s="120"/>
      <c r="X234" s="63"/>
      <c r="Y234" s="120"/>
      <c r="Z234" s="213"/>
      <c r="AA234" s="215"/>
    </row>
    <row r="237" customFormat="false" ht="12.75" hidden="false" customHeight="false" outlineLevel="0" collapsed="false">
      <c r="R237" s="160"/>
      <c r="S237" s="157"/>
      <c r="T237" s="108"/>
      <c r="U237" s="108"/>
      <c r="V237" s="108"/>
    </row>
    <row r="238" customFormat="false" ht="12.75" hidden="false" customHeight="false" outlineLevel="0" collapsed="false">
      <c r="S238" s="98"/>
      <c r="V238" s="188"/>
      <c r="W238" s="100"/>
      <c r="X238" s="188"/>
      <c r="Y238" s="100"/>
      <c r="Z238" s="0"/>
      <c r="AA238" s="173"/>
    </row>
    <row r="239" customFormat="false" ht="12.75" hidden="false" customHeight="false" outlineLevel="0" collapsed="false">
      <c r="R239" s="75"/>
      <c r="S239" s="101"/>
      <c r="T239" s="101"/>
      <c r="U239" s="190"/>
      <c r="V239" s="101"/>
      <c r="W239" s="101"/>
      <c r="X239" s="101"/>
      <c r="Y239" s="101"/>
      <c r="Z239" s="190"/>
      <c r="AA239" s="173"/>
    </row>
    <row r="240" customFormat="false" ht="12.75" hidden="false" customHeight="false" outlineLevel="0" collapsed="false">
      <c r="R240" s="107"/>
      <c r="S240" s="108"/>
      <c r="T240" s="108"/>
      <c r="U240" s="108"/>
      <c r="V240" s="108"/>
      <c r="W240" s="108"/>
      <c r="X240" s="108"/>
      <c r="Y240" s="108"/>
      <c r="Z240" s="108"/>
      <c r="AA240" s="108"/>
    </row>
    <row r="241" customFormat="false" ht="12.75" hidden="false" customHeight="false" outlineLevel="0" collapsed="false">
      <c r="R241" s="107"/>
      <c r="S241" s="108"/>
      <c r="T241" s="108"/>
      <c r="U241" s="108"/>
      <c r="V241" s="108"/>
      <c r="W241" s="108"/>
      <c r="X241" s="108"/>
      <c r="Y241" s="108"/>
      <c r="Z241" s="108"/>
      <c r="AA241" s="108"/>
    </row>
    <row r="242" customFormat="false" ht="12.75" hidden="false" customHeight="false" outlineLevel="0" collapsed="false">
      <c r="R242" s="107"/>
      <c r="S242" s="108"/>
      <c r="T242" s="108"/>
      <c r="U242" s="108"/>
      <c r="V242" s="108"/>
      <c r="W242" s="108"/>
      <c r="X242" s="108"/>
      <c r="Y242" s="108"/>
      <c r="Z242" s="108"/>
      <c r="AA242" s="108"/>
    </row>
    <row r="243" customFormat="false" ht="12.75" hidden="false" customHeight="false" outlineLevel="0" collapsed="false">
      <c r="R243" s="107"/>
      <c r="S243" s="108"/>
      <c r="T243" s="108"/>
      <c r="U243" s="108"/>
      <c r="V243" s="108"/>
      <c r="W243" s="108"/>
      <c r="X243" s="108"/>
      <c r="Y243" s="108"/>
      <c r="Z243" s="108"/>
      <c r="AA243" s="108"/>
    </row>
    <row r="244" customFormat="false" ht="12.75" hidden="false" customHeight="false" outlineLevel="0" collapsed="false">
      <c r="R244" s="107"/>
      <c r="S244" s="108"/>
      <c r="T244" s="108"/>
      <c r="U244" s="108"/>
      <c r="V244" s="108"/>
      <c r="W244" s="108"/>
      <c r="X244" s="108"/>
      <c r="Y244" s="108"/>
      <c r="Z244" s="108"/>
      <c r="AA244" s="108"/>
    </row>
    <row r="245" customFormat="false" ht="12.75" hidden="false" customHeight="false" outlineLevel="0" collapsed="false">
      <c r="R245" s="107"/>
      <c r="S245" s="108"/>
      <c r="T245" s="108"/>
      <c r="U245" s="108"/>
      <c r="V245" s="108"/>
      <c r="W245" s="108"/>
      <c r="X245" s="108"/>
      <c r="Y245" s="108"/>
      <c r="Z245" s="108"/>
      <c r="AA245" s="108"/>
    </row>
    <row r="246" customFormat="false" ht="12.75" hidden="false" customHeight="false" outlineLevel="0" collapsed="false">
      <c r="R246" s="107"/>
      <c r="S246" s="108"/>
      <c r="T246" s="108"/>
      <c r="U246" s="108"/>
      <c r="V246" s="108"/>
      <c r="W246" s="108"/>
      <c r="X246" s="108"/>
      <c r="Y246" s="108"/>
      <c r="Z246" s="108"/>
      <c r="AA246" s="108"/>
    </row>
    <row r="247" customFormat="false" ht="12.75" hidden="false" customHeight="false" outlineLevel="0" collapsed="false">
      <c r="R247" s="107"/>
      <c r="S247" s="108"/>
      <c r="T247" s="108"/>
      <c r="U247" s="108"/>
      <c r="V247" s="108"/>
      <c r="W247" s="108"/>
      <c r="X247" s="108"/>
      <c r="Y247" s="108"/>
      <c r="Z247" s="108"/>
      <c r="AA247" s="108"/>
    </row>
    <row r="248" customFormat="false" ht="12.75" hidden="false" customHeight="false" outlineLevel="0" collapsed="false">
      <c r="R248" s="107"/>
      <c r="S248" s="108"/>
      <c r="T248" s="108"/>
      <c r="U248" s="108"/>
      <c r="V248" s="108"/>
      <c r="W248" s="108"/>
      <c r="X248" s="108"/>
      <c r="Y248" s="108"/>
      <c r="Z248" s="108"/>
      <c r="AA248" s="108"/>
    </row>
    <row r="249" customFormat="false" ht="12.75" hidden="false" customHeight="false" outlineLevel="0" collapsed="false">
      <c r="R249" s="107"/>
      <c r="S249" s="108"/>
      <c r="T249" s="108"/>
      <c r="U249" s="108"/>
      <c r="V249" s="108"/>
      <c r="W249" s="108"/>
      <c r="X249" s="108"/>
      <c r="Y249" s="108"/>
      <c r="Z249" s="108"/>
      <c r="AA249" s="108"/>
    </row>
    <row r="250" customFormat="false" ht="12.75" hidden="false" customHeight="false" outlineLevel="0" collapsed="false">
      <c r="R250" s="107"/>
      <c r="S250" s="108"/>
      <c r="T250" s="108"/>
      <c r="U250" s="108"/>
      <c r="V250" s="108"/>
      <c r="W250" s="108"/>
      <c r="X250" s="108"/>
      <c r="Y250" s="108"/>
      <c r="Z250" s="108"/>
      <c r="AA250" s="108"/>
    </row>
    <row r="251" customFormat="false" ht="12.75" hidden="false" customHeight="false" outlineLevel="0" collapsed="false">
      <c r="R251" s="107"/>
      <c r="S251" s="108"/>
      <c r="T251" s="108"/>
      <c r="U251" s="108"/>
      <c r="V251" s="108"/>
      <c r="W251" s="108"/>
      <c r="X251" s="108"/>
      <c r="Y251" s="108"/>
      <c r="Z251" s="108"/>
      <c r="AA251" s="108"/>
    </row>
    <row r="252" customFormat="false" ht="12.75" hidden="false" customHeight="false" outlineLevel="0" collapsed="false">
      <c r="R252" s="107"/>
      <c r="S252" s="108"/>
      <c r="T252" s="108"/>
      <c r="U252" s="108"/>
      <c r="V252" s="108"/>
      <c r="W252" s="108"/>
      <c r="X252" s="108"/>
      <c r="Y252" s="108"/>
      <c r="Z252" s="108"/>
      <c r="AA252" s="108"/>
    </row>
    <row r="253" customFormat="false" ht="12.75" hidden="false" customHeight="false" outlineLevel="0" collapsed="false">
      <c r="R253" s="107"/>
      <c r="S253" s="108"/>
      <c r="T253" s="108"/>
      <c r="U253" s="108"/>
      <c r="V253" s="108"/>
      <c r="W253" s="108"/>
      <c r="X253" s="108"/>
      <c r="Y253" s="108"/>
      <c r="Z253" s="108"/>
      <c r="AA253" s="108"/>
    </row>
    <row r="254" customFormat="false" ht="12.75" hidden="false" customHeight="false" outlineLevel="0" collapsed="false">
      <c r="R254" s="107"/>
      <c r="S254" s="108"/>
      <c r="T254" s="108"/>
      <c r="U254" s="108"/>
      <c r="V254" s="108"/>
      <c r="W254" s="108"/>
      <c r="X254" s="108"/>
      <c r="Y254" s="108"/>
      <c r="Z254" s="108"/>
      <c r="AA254" s="108"/>
    </row>
    <row r="255" customFormat="false" ht="12.75" hidden="false" customHeight="false" outlineLevel="0" collapsed="false">
      <c r="R255" s="107"/>
      <c r="S255" s="108"/>
      <c r="T255" s="108"/>
      <c r="U255" s="108"/>
      <c r="V255" s="108"/>
      <c r="W255" s="108"/>
      <c r="X255" s="108"/>
      <c r="Y255" s="108"/>
      <c r="Z255" s="108"/>
      <c r="AA255" s="108"/>
    </row>
    <row r="256" customFormat="false" ht="12.75" hidden="false" customHeight="false" outlineLevel="0" collapsed="false">
      <c r="R256" s="107"/>
      <c r="S256" s="108"/>
      <c r="T256" s="108"/>
      <c r="U256" s="108"/>
      <c r="V256" s="108"/>
      <c r="W256" s="108"/>
      <c r="X256" s="108"/>
      <c r="Y256" s="108"/>
      <c r="Z256" s="108"/>
      <c r="AA256" s="108"/>
    </row>
    <row r="257" customFormat="false" ht="12.75" hidden="false" customHeight="false" outlineLevel="0" collapsed="false">
      <c r="R257" s="107"/>
      <c r="S257" s="108"/>
      <c r="T257" s="108"/>
      <c r="U257" s="108"/>
      <c r="V257" s="108"/>
      <c r="W257" s="108"/>
      <c r="X257" s="108"/>
      <c r="Y257" s="108"/>
      <c r="Z257" s="108"/>
      <c r="AA257" s="108"/>
    </row>
    <row r="258" customFormat="false" ht="12.75" hidden="false" customHeight="false" outlineLevel="0" collapsed="false">
      <c r="R258" s="107"/>
      <c r="S258" s="108"/>
      <c r="T258" s="108"/>
      <c r="U258" s="108"/>
      <c r="V258" s="108"/>
      <c r="W258" s="108"/>
      <c r="X258" s="108"/>
      <c r="Y258" s="108"/>
      <c r="Z258" s="108"/>
      <c r="AA258" s="108"/>
    </row>
    <row r="259" customFormat="false" ht="12.75" hidden="false" customHeight="false" outlineLevel="0" collapsed="false">
      <c r="R259" s="107"/>
      <c r="S259" s="108"/>
      <c r="T259" s="108"/>
      <c r="U259" s="108"/>
      <c r="V259" s="108"/>
      <c r="W259" s="108"/>
      <c r="X259" s="108"/>
      <c r="Y259" s="108"/>
      <c r="Z259" s="108"/>
      <c r="AA259" s="108"/>
    </row>
    <row r="260" customFormat="false" ht="12.75" hidden="false" customHeight="false" outlineLevel="0" collapsed="false">
      <c r="R260" s="107"/>
      <c r="S260" s="108"/>
      <c r="T260" s="108"/>
      <c r="U260" s="108"/>
      <c r="V260" s="108"/>
      <c r="W260" s="108"/>
      <c r="X260" s="108"/>
      <c r="Y260" s="108"/>
      <c r="Z260" s="108"/>
      <c r="AA260" s="108"/>
    </row>
    <row r="261" customFormat="false" ht="12.75" hidden="false" customHeight="false" outlineLevel="0" collapsed="false">
      <c r="R261" s="107"/>
      <c r="S261" s="108"/>
      <c r="T261" s="108"/>
      <c r="U261" s="108"/>
      <c r="V261" s="108"/>
      <c r="W261" s="108"/>
      <c r="X261" s="108"/>
      <c r="Y261" s="108"/>
      <c r="Z261" s="108"/>
      <c r="AA261" s="108"/>
    </row>
    <row r="262" customFormat="false" ht="12.75" hidden="false" customHeight="false" outlineLevel="0" collapsed="false">
      <c r="R262" s="107"/>
      <c r="S262" s="108"/>
      <c r="T262" s="108"/>
      <c r="U262" s="108"/>
      <c r="V262" s="108"/>
      <c r="W262" s="108"/>
      <c r="X262" s="108"/>
      <c r="Y262" s="108"/>
      <c r="Z262" s="108"/>
      <c r="AA262" s="108"/>
    </row>
    <row r="263" customFormat="false" ht="12.75" hidden="false" customHeight="false" outlineLevel="0" collapsed="false">
      <c r="R263" s="107"/>
      <c r="S263" s="108"/>
      <c r="T263" s="108"/>
      <c r="U263" s="108"/>
      <c r="V263" s="108"/>
      <c r="W263" s="108"/>
      <c r="X263" s="108"/>
      <c r="Y263" s="108"/>
      <c r="Z263" s="108"/>
      <c r="AA263" s="108"/>
    </row>
    <row r="264" customFormat="false" ht="12.75" hidden="false" customHeight="false" outlineLevel="0" collapsed="false">
      <c r="R264" s="107"/>
      <c r="S264" s="108"/>
      <c r="T264" s="108"/>
      <c r="U264" s="108"/>
      <c r="V264" s="108"/>
      <c r="W264" s="108"/>
      <c r="X264" s="108"/>
      <c r="Y264" s="108"/>
      <c r="Z264" s="108"/>
      <c r="AA264" s="108"/>
    </row>
    <row r="265" customFormat="false" ht="12.75" hidden="false" customHeight="false" outlineLevel="0" collapsed="false">
      <c r="R265" s="107"/>
      <c r="S265" s="108"/>
      <c r="T265" s="108"/>
      <c r="U265" s="108"/>
      <c r="V265" s="108"/>
      <c r="W265" s="108"/>
      <c r="X265" s="108"/>
      <c r="Y265" s="108"/>
      <c r="Z265" s="108"/>
      <c r="AA265" s="108"/>
    </row>
    <row r="266" customFormat="false" ht="12.75" hidden="false" customHeight="false" outlineLevel="0" collapsed="false">
      <c r="R266" s="107"/>
      <c r="S266" s="108"/>
      <c r="T266" s="108"/>
      <c r="U266" s="108"/>
      <c r="V266" s="108"/>
      <c r="W266" s="108"/>
      <c r="X266" s="108"/>
      <c r="Y266" s="108"/>
      <c r="Z266" s="108"/>
      <c r="AA266" s="108"/>
    </row>
    <row r="267" customFormat="false" ht="12.75" hidden="false" customHeight="false" outlineLevel="0" collapsed="false">
      <c r="R267" s="107"/>
      <c r="S267" s="108"/>
      <c r="T267" s="108"/>
      <c r="U267" s="108"/>
      <c r="V267" s="108"/>
      <c r="W267" s="108"/>
      <c r="X267" s="108"/>
      <c r="Y267" s="108"/>
      <c r="Z267" s="108"/>
      <c r="AA267" s="108"/>
    </row>
    <row r="268" customFormat="false" ht="12.75" hidden="false" customHeight="false" outlineLevel="0" collapsed="false">
      <c r="R268" s="107"/>
      <c r="S268" s="108"/>
      <c r="T268" s="108"/>
      <c r="U268" s="108"/>
      <c r="V268" s="108"/>
      <c r="W268" s="108"/>
      <c r="X268" s="108"/>
      <c r="Y268" s="108"/>
      <c r="Z268" s="108"/>
      <c r="AA268" s="108"/>
    </row>
    <row r="269" customFormat="false" ht="12.75" hidden="false" customHeight="false" outlineLevel="0" collapsed="false">
      <c r="R269" s="107"/>
      <c r="S269" s="108"/>
      <c r="T269" s="108"/>
      <c r="U269" s="108"/>
      <c r="V269" s="108"/>
      <c r="W269" s="108"/>
      <c r="X269" s="108"/>
      <c r="Y269" s="108"/>
      <c r="Z269" s="108"/>
      <c r="AA269" s="108"/>
    </row>
    <row r="270" customFormat="false" ht="12.75" hidden="false" customHeight="false" outlineLevel="0" collapsed="false">
      <c r="R270" s="107"/>
      <c r="S270" s="108"/>
      <c r="T270" s="108"/>
      <c r="U270" s="108"/>
      <c r="V270" s="108"/>
      <c r="W270" s="108"/>
      <c r="X270" s="108"/>
      <c r="Y270" s="108"/>
      <c r="Z270" s="108"/>
      <c r="AA270" s="108"/>
    </row>
    <row r="271" customFormat="false" ht="12.75" hidden="false" customHeight="false" outlineLevel="0" collapsed="false">
      <c r="R271" s="107"/>
      <c r="S271" s="108"/>
      <c r="T271" s="108"/>
      <c r="U271" s="120"/>
      <c r="V271" s="108"/>
      <c r="W271" s="108"/>
      <c r="X271" s="108"/>
      <c r="Y271" s="108"/>
      <c r="Z271" s="108"/>
      <c r="AA271" s="108"/>
    </row>
    <row r="272" customFormat="false" ht="12.75" hidden="false" customHeight="false" outlineLevel="0" collapsed="false">
      <c r="R272" s="152"/>
      <c r="S272" s="19"/>
      <c r="U272" s="108"/>
      <c r="V272" s="108"/>
      <c r="W272" s="108"/>
      <c r="X272" s="108"/>
      <c r="Y272" s="108"/>
      <c r="Z272" s="108"/>
      <c r="AA272" s="120"/>
    </row>
    <row r="273" customFormat="false" ht="12.75" hidden="false" customHeight="false" outlineLevel="0" collapsed="false">
      <c r="R273" s="152"/>
      <c r="S273" s="19"/>
      <c r="U273" s="213"/>
      <c r="V273" s="63"/>
      <c r="W273" s="120"/>
      <c r="X273" s="63"/>
      <c r="Y273" s="120"/>
      <c r="Z273" s="213"/>
      <c r="AA273" s="215"/>
    </row>
    <row r="276" customFormat="false" ht="12.75" hidden="false" customHeight="false" outlineLevel="0" collapsed="false">
      <c r="R276" s="160"/>
      <c r="S276" s="157"/>
      <c r="T276" s="108"/>
      <c r="U276" s="108"/>
      <c r="V276" s="108"/>
    </row>
    <row r="277" customFormat="false" ht="12.75" hidden="false" customHeight="false" outlineLevel="0" collapsed="false">
      <c r="S277" s="98"/>
      <c r="V277" s="188"/>
      <c r="W277" s="100"/>
      <c r="X277" s="188"/>
      <c r="Y277" s="100"/>
      <c r="Z277" s="0"/>
    </row>
    <row r="278" customFormat="false" ht="12.75" hidden="false" customHeight="false" outlineLevel="0" collapsed="false">
      <c r="R278" s="75"/>
      <c r="S278" s="101"/>
      <c r="T278" s="101"/>
      <c r="U278" s="190"/>
      <c r="V278" s="101"/>
      <c r="W278" s="101"/>
      <c r="X278" s="101"/>
      <c r="Y278" s="101"/>
      <c r="Z278" s="190"/>
      <c r="AA278" s="173"/>
    </row>
    <row r="279" customFormat="false" ht="12.75" hidden="false" customHeight="false" outlineLevel="0" collapsed="false">
      <c r="R279" s="107"/>
      <c r="S279" s="108"/>
      <c r="T279" s="108"/>
      <c r="U279" s="108"/>
      <c r="V279" s="108"/>
      <c r="W279" s="108"/>
      <c r="X279" s="108"/>
      <c r="Y279" s="108"/>
      <c r="Z279" s="108"/>
      <c r="AA279" s="108"/>
    </row>
    <row r="280" customFormat="false" ht="12.75" hidden="false" customHeight="false" outlineLevel="0" collapsed="false">
      <c r="R280" s="107"/>
      <c r="S280" s="108"/>
      <c r="T280" s="108"/>
      <c r="U280" s="108"/>
      <c r="V280" s="108"/>
      <c r="W280" s="108"/>
      <c r="X280" s="108"/>
      <c r="Y280" s="108"/>
      <c r="Z280" s="108"/>
      <c r="AA280" s="108"/>
    </row>
    <row r="281" customFormat="false" ht="12.75" hidden="false" customHeight="false" outlineLevel="0" collapsed="false">
      <c r="R281" s="107"/>
      <c r="S281" s="108"/>
      <c r="T281" s="108"/>
      <c r="U281" s="108"/>
      <c r="V281" s="108"/>
      <c r="W281" s="108"/>
      <c r="X281" s="108"/>
      <c r="Y281" s="108"/>
      <c r="Z281" s="108"/>
      <c r="AA281" s="108"/>
    </row>
    <row r="282" customFormat="false" ht="12.75" hidden="false" customHeight="false" outlineLevel="0" collapsed="false">
      <c r="R282" s="107"/>
      <c r="S282" s="108"/>
      <c r="T282" s="108"/>
      <c r="U282" s="108"/>
      <c r="V282" s="108"/>
      <c r="W282" s="108"/>
      <c r="X282" s="108"/>
      <c r="Y282" s="108"/>
      <c r="Z282" s="108"/>
      <c r="AA282" s="108"/>
    </row>
    <row r="283" customFormat="false" ht="12.75" hidden="false" customHeight="false" outlineLevel="0" collapsed="false">
      <c r="R283" s="107"/>
      <c r="S283" s="108"/>
      <c r="T283" s="108"/>
      <c r="U283" s="108"/>
      <c r="V283" s="108"/>
      <c r="W283" s="108"/>
      <c r="X283" s="108"/>
      <c r="Y283" s="108"/>
      <c r="Z283" s="108"/>
      <c r="AA283" s="108"/>
    </row>
    <row r="284" customFormat="false" ht="12.75" hidden="false" customHeight="false" outlineLevel="0" collapsed="false">
      <c r="R284" s="107"/>
      <c r="S284" s="108"/>
      <c r="T284" s="108"/>
      <c r="U284" s="108"/>
      <c r="V284" s="108"/>
      <c r="W284" s="108"/>
      <c r="X284" s="108"/>
      <c r="Y284" s="108"/>
      <c r="Z284" s="108"/>
      <c r="AA284" s="108"/>
    </row>
    <row r="285" customFormat="false" ht="12.75" hidden="false" customHeight="false" outlineLevel="0" collapsed="false">
      <c r="R285" s="107"/>
      <c r="S285" s="108"/>
      <c r="T285" s="108"/>
      <c r="U285" s="108"/>
      <c r="V285" s="108"/>
      <c r="W285" s="108"/>
      <c r="X285" s="108"/>
      <c r="Y285" s="108"/>
      <c r="Z285" s="108"/>
      <c r="AA285" s="108"/>
    </row>
    <row r="286" customFormat="false" ht="12.75" hidden="false" customHeight="false" outlineLevel="0" collapsed="false">
      <c r="R286" s="107"/>
      <c r="S286" s="108"/>
      <c r="T286" s="108"/>
      <c r="U286" s="108"/>
      <c r="V286" s="108"/>
      <c r="W286" s="108"/>
      <c r="X286" s="108"/>
      <c r="Y286" s="108"/>
      <c r="Z286" s="108"/>
      <c r="AA286" s="108"/>
    </row>
    <row r="287" customFormat="false" ht="12.75" hidden="false" customHeight="false" outlineLevel="0" collapsed="false">
      <c r="R287" s="107"/>
      <c r="S287" s="108"/>
      <c r="T287" s="108"/>
      <c r="U287" s="108"/>
      <c r="V287" s="108"/>
      <c r="W287" s="108"/>
      <c r="X287" s="108"/>
      <c r="Y287" s="108"/>
      <c r="Z287" s="108"/>
      <c r="AA287" s="108"/>
    </row>
    <row r="288" customFormat="false" ht="12.75" hidden="false" customHeight="false" outlineLevel="0" collapsed="false">
      <c r="R288" s="107"/>
      <c r="S288" s="108"/>
      <c r="T288" s="108"/>
      <c r="U288" s="108"/>
      <c r="V288" s="108"/>
      <c r="W288" s="108"/>
      <c r="X288" s="108"/>
      <c r="Y288" s="108"/>
      <c r="Z288" s="108"/>
      <c r="AA288" s="108"/>
    </row>
    <row r="289" customFormat="false" ht="12.75" hidden="false" customHeight="false" outlineLevel="0" collapsed="false">
      <c r="R289" s="107"/>
      <c r="S289" s="108"/>
      <c r="T289" s="108"/>
      <c r="U289" s="108"/>
      <c r="V289" s="108"/>
      <c r="W289" s="108"/>
      <c r="X289" s="108"/>
      <c r="Y289" s="108"/>
      <c r="Z289" s="108"/>
      <c r="AA289" s="108"/>
    </row>
    <row r="290" customFormat="false" ht="12.75" hidden="false" customHeight="false" outlineLevel="0" collapsed="false">
      <c r="R290" s="107"/>
      <c r="S290" s="108"/>
      <c r="T290" s="108"/>
      <c r="U290" s="108"/>
      <c r="V290" s="108"/>
      <c r="W290" s="108"/>
      <c r="X290" s="108"/>
      <c r="Y290" s="108"/>
      <c r="Z290" s="108"/>
      <c r="AA290" s="108"/>
    </row>
    <row r="291" customFormat="false" ht="12.75" hidden="false" customHeight="false" outlineLevel="0" collapsed="false">
      <c r="R291" s="107"/>
      <c r="S291" s="108"/>
      <c r="T291" s="108"/>
      <c r="U291" s="108"/>
      <c r="V291" s="108"/>
      <c r="W291" s="108"/>
      <c r="X291" s="108"/>
      <c r="Y291" s="108"/>
      <c r="Z291" s="108"/>
      <c r="AA291" s="108"/>
    </row>
    <row r="292" customFormat="false" ht="12.75" hidden="false" customHeight="false" outlineLevel="0" collapsed="false">
      <c r="R292" s="107"/>
      <c r="S292" s="108"/>
      <c r="T292" s="108"/>
      <c r="U292" s="108"/>
      <c r="V292" s="108"/>
      <c r="W292" s="108"/>
      <c r="X292" s="108"/>
      <c r="Y292" s="108"/>
      <c r="Z292" s="108"/>
      <c r="AA292" s="108"/>
    </row>
    <row r="293" customFormat="false" ht="12.75" hidden="false" customHeight="false" outlineLevel="0" collapsed="false">
      <c r="R293" s="107"/>
      <c r="S293" s="108"/>
      <c r="T293" s="108"/>
      <c r="U293" s="108"/>
      <c r="V293" s="108"/>
      <c r="W293" s="108"/>
      <c r="X293" s="108"/>
      <c r="Y293" s="108"/>
      <c r="Z293" s="108"/>
      <c r="AA293" s="108"/>
    </row>
    <row r="294" customFormat="false" ht="12.75" hidden="false" customHeight="false" outlineLevel="0" collapsed="false">
      <c r="R294" s="107"/>
      <c r="S294" s="108"/>
      <c r="T294" s="108"/>
      <c r="U294" s="108"/>
      <c r="V294" s="108"/>
      <c r="W294" s="108"/>
      <c r="X294" s="108"/>
      <c r="Y294" s="108"/>
      <c r="Z294" s="108"/>
      <c r="AA294" s="108"/>
    </row>
    <row r="295" customFormat="false" ht="12.75" hidden="false" customHeight="false" outlineLevel="0" collapsed="false">
      <c r="R295" s="107"/>
      <c r="S295" s="108"/>
      <c r="T295" s="108"/>
      <c r="U295" s="108"/>
      <c r="V295" s="108"/>
      <c r="W295" s="108"/>
      <c r="X295" s="108"/>
      <c r="Y295" s="108"/>
      <c r="Z295" s="108"/>
      <c r="AA295" s="108"/>
    </row>
    <row r="296" customFormat="false" ht="12.75" hidden="false" customHeight="false" outlineLevel="0" collapsed="false">
      <c r="R296" s="107"/>
      <c r="S296" s="108"/>
      <c r="T296" s="108"/>
      <c r="U296" s="108"/>
      <c r="V296" s="108"/>
      <c r="W296" s="108"/>
      <c r="X296" s="108"/>
      <c r="Y296" s="108"/>
      <c r="Z296" s="108"/>
      <c r="AA296" s="108"/>
    </row>
    <row r="297" customFormat="false" ht="12.75" hidden="false" customHeight="false" outlineLevel="0" collapsed="false">
      <c r="R297" s="107"/>
      <c r="S297" s="108"/>
      <c r="T297" s="108"/>
      <c r="U297" s="108"/>
      <c r="V297" s="108"/>
      <c r="W297" s="108"/>
      <c r="X297" s="108"/>
      <c r="Y297" s="108"/>
      <c r="Z297" s="108"/>
      <c r="AA297" s="108"/>
    </row>
    <row r="298" customFormat="false" ht="12.75" hidden="false" customHeight="false" outlineLevel="0" collapsed="false">
      <c r="R298" s="107"/>
      <c r="S298" s="108"/>
      <c r="T298" s="108"/>
      <c r="U298" s="108"/>
      <c r="V298" s="108"/>
      <c r="W298" s="108"/>
      <c r="X298" s="108"/>
      <c r="Y298" s="108"/>
      <c r="Z298" s="108"/>
      <c r="AA298" s="108"/>
    </row>
    <row r="299" customFormat="false" ht="12.75" hidden="false" customHeight="false" outlineLevel="0" collapsed="false">
      <c r="R299" s="107"/>
      <c r="S299" s="108"/>
      <c r="T299" s="108"/>
      <c r="U299" s="108"/>
      <c r="V299" s="108"/>
      <c r="W299" s="108"/>
      <c r="X299" s="108"/>
      <c r="Y299" s="108"/>
      <c r="Z299" s="108"/>
      <c r="AA299" s="108"/>
    </row>
    <row r="300" customFormat="false" ht="12.75" hidden="false" customHeight="false" outlineLevel="0" collapsed="false">
      <c r="R300" s="107"/>
      <c r="S300" s="108"/>
      <c r="T300" s="108"/>
      <c r="U300" s="108"/>
      <c r="V300" s="108"/>
      <c r="W300" s="108"/>
      <c r="X300" s="108"/>
      <c r="Y300" s="108"/>
      <c r="Z300" s="108"/>
      <c r="AA300" s="108"/>
    </row>
    <row r="301" customFormat="false" ht="12.75" hidden="false" customHeight="false" outlineLevel="0" collapsed="false">
      <c r="R301" s="107"/>
      <c r="S301" s="108"/>
      <c r="T301" s="108"/>
      <c r="U301" s="108"/>
      <c r="V301" s="108"/>
      <c r="W301" s="108"/>
      <c r="X301" s="108"/>
      <c r="Y301" s="108"/>
      <c r="Z301" s="108"/>
      <c r="AA301" s="108"/>
    </row>
    <row r="302" customFormat="false" ht="12.75" hidden="false" customHeight="false" outlineLevel="0" collapsed="false">
      <c r="R302" s="107"/>
      <c r="S302" s="108"/>
      <c r="T302" s="108"/>
      <c r="U302" s="108"/>
      <c r="V302" s="108"/>
      <c r="W302" s="108"/>
      <c r="X302" s="108"/>
      <c r="Y302" s="108"/>
      <c r="Z302" s="108"/>
      <c r="AA302" s="108"/>
    </row>
    <row r="303" customFormat="false" ht="12.75" hidden="false" customHeight="false" outlineLevel="0" collapsed="false">
      <c r="R303" s="107"/>
      <c r="S303" s="108"/>
      <c r="T303" s="108"/>
      <c r="U303" s="108"/>
      <c r="V303" s="108"/>
      <c r="W303" s="108"/>
      <c r="X303" s="108"/>
      <c r="Y303" s="108"/>
      <c r="Z303" s="108"/>
      <c r="AA303" s="108"/>
    </row>
    <row r="304" customFormat="false" ht="12.75" hidden="false" customHeight="false" outlineLevel="0" collapsed="false">
      <c r="R304" s="107"/>
      <c r="S304" s="108"/>
      <c r="T304" s="108"/>
      <c r="U304" s="108"/>
      <c r="V304" s="108"/>
      <c r="W304" s="108"/>
      <c r="X304" s="108"/>
      <c r="Y304" s="108"/>
      <c r="Z304" s="108"/>
      <c r="AA304" s="108"/>
    </row>
    <row r="305" customFormat="false" ht="12.75" hidden="false" customHeight="false" outlineLevel="0" collapsed="false">
      <c r="R305" s="107"/>
      <c r="S305" s="108"/>
      <c r="T305" s="108"/>
      <c r="U305" s="108"/>
      <c r="V305" s="108"/>
      <c r="W305" s="108"/>
      <c r="X305" s="108"/>
      <c r="Y305" s="108"/>
      <c r="Z305" s="108"/>
      <c r="AA305" s="108"/>
    </row>
    <row r="306" customFormat="false" ht="12.75" hidden="false" customHeight="false" outlineLevel="0" collapsed="false">
      <c r="R306" s="107"/>
      <c r="S306" s="108"/>
      <c r="T306" s="108"/>
      <c r="U306" s="108"/>
      <c r="V306" s="108"/>
      <c r="W306" s="108"/>
      <c r="X306" s="108"/>
      <c r="Y306" s="108"/>
      <c r="Z306" s="108"/>
      <c r="AA306" s="108"/>
    </row>
    <row r="307" customFormat="false" ht="12.75" hidden="false" customHeight="false" outlineLevel="0" collapsed="false">
      <c r="R307" s="107"/>
      <c r="S307" s="108"/>
      <c r="T307" s="108"/>
      <c r="U307" s="108"/>
      <c r="V307" s="108"/>
      <c r="W307" s="108"/>
      <c r="X307" s="108"/>
      <c r="Y307" s="108"/>
      <c r="Z307" s="108"/>
      <c r="AA307" s="108"/>
    </row>
    <row r="308" customFormat="false" ht="12.75" hidden="false" customHeight="false" outlineLevel="0" collapsed="false">
      <c r="R308" s="107"/>
      <c r="S308" s="108"/>
      <c r="T308" s="108"/>
      <c r="U308" s="108"/>
      <c r="V308" s="108"/>
      <c r="W308" s="108"/>
      <c r="X308" s="108"/>
      <c r="Y308" s="108"/>
      <c r="Z308" s="108"/>
      <c r="AA308" s="108"/>
    </row>
    <row r="309" customFormat="false" ht="12.75" hidden="false" customHeight="false" outlineLevel="0" collapsed="false">
      <c r="R309" s="107"/>
      <c r="S309" s="108"/>
      <c r="T309" s="108"/>
      <c r="U309" s="108"/>
      <c r="V309" s="108"/>
      <c r="W309" s="108"/>
      <c r="X309" s="108"/>
      <c r="Y309" s="108"/>
      <c r="Z309" s="108"/>
      <c r="AA309" s="108"/>
    </row>
    <row r="310" customFormat="false" ht="12.75" hidden="false" customHeight="false" outlineLevel="0" collapsed="false">
      <c r="R310" s="107"/>
      <c r="S310" s="108"/>
      <c r="T310" s="108"/>
      <c r="U310" s="120"/>
      <c r="V310" s="108"/>
      <c r="W310" s="108"/>
      <c r="X310" s="108"/>
      <c r="Y310" s="108"/>
      <c r="Z310" s="108"/>
      <c r="AA310" s="108"/>
    </row>
    <row r="311" customFormat="false" ht="12.75" hidden="false" customHeight="false" outlineLevel="0" collapsed="false">
      <c r="R311" s="152"/>
      <c r="S311" s="19"/>
      <c r="U311" s="108"/>
      <c r="V311" s="108"/>
      <c r="W311" s="108"/>
      <c r="X311" s="108"/>
      <c r="Y311" s="108"/>
      <c r="Z311" s="108"/>
      <c r="AA311" s="120"/>
    </row>
    <row r="312" customFormat="false" ht="12.75" hidden="false" customHeight="false" outlineLevel="0" collapsed="false">
      <c r="R312" s="152"/>
      <c r="S312" s="19"/>
      <c r="U312" s="213"/>
      <c r="V312" s="63"/>
      <c r="W312" s="120"/>
      <c r="X312" s="63"/>
      <c r="Y312" s="120"/>
      <c r="Z312" s="213"/>
      <c r="AA312" s="213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3" sqref="C34 B39 A40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16"/>
      <c r="E3" s="216"/>
      <c r="I3" s="216"/>
      <c r="M3" s="216"/>
    </row>
    <row r="4" customFormat="false" ht="12.75" hidden="false" customHeight="false" outlineLevel="0" collapsed="false">
      <c r="A4" s="136"/>
      <c r="B4" s="98" t="s">
        <v>139</v>
      </c>
      <c r="E4" s="136"/>
      <c r="F4" s="98"/>
      <c r="I4" s="136"/>
      <c r="J4" s="98"/>
      <c r="M4" s="136"/>
      <c r="N4" s="98"/>
    </row>
    <row r="5" customFormat="false" ht="12.75" hidden="false" customHeight="false" outlineLevel="0" collapsed="false">
      <c r="A5" s="75" t="s">
        <v>113</v>
      </c>
      <c r="B5" s="101" t="s">
        <v>114</v>
      </c>
      <c r="C5" s="101" t="s">
        <v>115</v>
      </c>
      <c r="D5" s="101" t="s">
        <v>133</v>
      </c>
      <c r="E5" s="75"/>
      <c r="F5" s="101"/>
      <c r="G5" s="101"/>
      <c r="H5" s="101"/>
      <c r="I5" s="75"/>
      <c r="J5" s="101"/>
      <c r="K5" s="101"/>
      <c r="L5" s="101"/>
      <c r="M5" s="75"/>
      <c r="N5" s="101"/>
      <c r="O5" s="101"/>
      <c r="P5" s="101"/>
    </row>
    <row r="6" customFormat="false" ht="12.75" hidden="false" customHeight="false" outlineLevel="0" collapsed="false">
      <c r="A6" s="107" t="n">
        <v>1</v>
      </c>
      <c r="B6" s="108" t="n">
        <v>136208</v>
      </c>
      <c r="C6" s="108" t="n">
        <v>142148</v>
      </c>
      <c r="D6" s="120" t="n">
        <f aca="false">+C6-B6</f>
        <v>5940</v>
      </c>
      <c r="E6" s="107"/>
      <c r="F6" s="108"/>
      <c r="G6" s="108"/>
      <c r="H6" s="120"/>
      <c r="I6" s="107"/>
      <c r="J6" s="108"/>
      <c r="K6" s="108"/>
      <c r="L6" s="120"/>
      <c r="M6" s="107"/>
      <c r="N6" s="108"/>
      <c r="O6" s="108"/>
      <c r="P6" s="120"/>
    </row>
    <row r="7" customFormat="false" ht="12.75" hidden="false" customHeight="false" outlineLevel="0" collapsed="false">
      <c r="A7" s="107" t="n">
        <v>2</v>
      </c>
      <c r="B7" s="108" t="n">
        <v>91841</v>
      </c>
      <c r="C7" s="108" t="n">
        <v>120259</v>
      </c>
      <c r="D7" s="120" t="n">
        <f aca="false">+C7-B7</f>
        <v>28418</v>
      </c>
      <c r="E7" s="107"/>
      <c r="F7" s="108"/>
      <c r="G7" s="108"/>
      <c r="H7" s="120"/>
      <c r="I7" s="107"/>
      <c r="J7" s="108"/>
      <c r="K7" s="108"/>
      <c r="L7" s="120"/>
      <c r="M7" s="107"/>
      <c r="N7" s="108"/>
      <c r="O7" s="108"/>
      <c r="P7" s="120"/>
    </row>
    <row r="8" customFormat="false" ht="12.75" hidden="false" customHeight="false" outlineLevel="0" collapsed="false">
      <c r="A8" s="107" t="n">
        <v>3</v>
      </c>
      <c r="B8" s="108" t="n">
        <v>95240</v>
      </c>
      <c r="C8" s="108" t="n">
        <v>97445</v>
      </c>
      <c r="D8" s="120" t="n">
        <f aca="false">+C8-B8</f>
        <v>2205</v>
      </c>
      <c r="E8" s="107"/>
      <c r="F8" s="108"/>
      <c r="G8" s="108"/>
      <c r="H8" s="120"/>
      <c r="I8" s="107"/>
      <c r="J8" s="108"/>
      <c r="K8" s="108"/>
      <c r="L8" s="120"/>
      <c r="M8" s="107"/>
      <c r="N8" s="108"/>
      <c r="O8" s="108"/>
      <c r="P8" s="120"/>
    </row>
    <row r="9" customFormat="false" ht="12.75" hidden="false" customHeight="false" outlineLevel="0" collapsed="false">
      <c r="A9" s="107" t="n">
        <v>4</v>
      </c>
      <c r="B9" s="108" t="n">
        <v>116769</v>
      </c>
      <c r="C9" s="108" t="n">
        <v>114074</v>
      </c>
      <c r="D9" s="120" t="n">
        <f aca="false">+C9-B9</f>
        <v>-2695</v>
      </c>
      <c r="E9" s="107"/>
      <c r="F9" s="108"/>
      <c r="G9" s="108"/>
      <c r="H9" s="120"/>
      <c r="I9" s="107"/>
      <c r="J9" s="108"/>
      <c r="K9" s="108"/>
      <c r="L9" s="120"/>
      <c r="M9" s="107"/>
      <c r="N9" s="108"/>
      <c r="O9" s="108"/>
      <c r="P9" s="120"/>
    </row>
    <row r="10" customFormat="false" ht="12.75" hidden="false" customHeight="false" outlineLevel="0" collapsed="false">
      <c r="A10" s="107" t="n">
        <v>5</v>
      </c>
      <c r="B10" s="108" t="n">
        <v>108530</v>
      </c>
      <c r="C10" s="108" t="n">
        <v>114453</v>
      </c>
      <c r="D10" s="120" t="n">
        <f aca="false">+C10-B10</f>
        <v>5923</v>
      </c>
      <c r="E10" s="107"/>
      <c r="F10" s="108"/>
      <c r="G10" s="108"/>
      <c r="H10" s="120"/>
      <c r="I10" s="107"/>
      <c r="J10" s="108"/>
      <c r="K10" s="108"/>
      <c r="L10" s="120"/>
      <c r="M10" s="107"/>
      <c r="N10" s="108"/>
      <c r="O10" s="108"/>
      <c r="P10" s="120"/>
    </row>
    <row r="11" customFormat="false" ht="12.75" hidden="false" customHeight="false" outlineLevel="0" collapsed="false">
      <c r="A11" s="107" t="n">
        <v>6</v>
      </c>
      <c r="B11" s="108" t="n">
        <v>119572</v>
      </c>
      <c r="C11" s="108" t="n">
        <v>113703</v>
      </c>
      <c r="D11" s="120" t="n">
        <f aca="false">+C11-B11</f>
        <v>-5869</v>
      </c>
      <c r="E11" s="107"/>
      <c r="F11" s="108"/>
      <c r="G11" s="108"/>
      <c r="H11" s="120"/>
      <c r="I11" s="107"/>
      <c r="J11" s="108"/>
      <c r="K11" s="108"/>
      <c r="L11" s="120"/>
      <c r="M11" s="107"/>
      <c r="N11" s="108"/>
      <c r="O11" s="108"/>
      <c r="P11" s="120"/>
    </row>
    <row r="12" customFormat="false" ht="12.75" hidden="false" customHeight="false" outlineLevel="0" collapsed="false">
      <c r="A12" s="107" t="n">
        <v>7</v>
      </c>
      <c r="B12" s="108" t="n">
        <v>112545</v>
      </c>
      <c r="C12" s="108" t="n">
        <v>111866</v>
      </c>
      <c r="D12" s="120" t="n">
        <f aca="false">+C12-B12</f>
        <v>-679</v>
      </c>
      <c r="E12" s="107"/>
      <c r="F12" s="108"/>
      <c r="G12" s="108"/>
      <c r="H12" s="120"/>
      <c r="I12" s="107"/>
      <c r="J12" s="108"/>
      <c r="K12" s="108"/>
      <c r="L12" s="120"/>
      <c r="M12" s="107"/>
      <c r="N12" s="108"/>
      <c r="O12" s="108"/>
      <c r="P12" s="120"/>
    </row>
    <row r="13" customFormat="false" ht="12.75" hidden="false" customHeight="false" outlineLevel="0" collapsed="false">
      <c r="A13" s="107" t="n">
        <v>8</v>
      </c>
      <c r="B13" s="108" t="n">
        <v>112164</v>
      </c>
      <c r="C13" s="108" t="n">
        <v>113431</v>
      </c>
      <c r="D13" s="120" t="n">
        <f aca="false">+C13-B13</f>
        <v>1267</v>
      </c>
      <c r="E13" s="107"/>
      <c r="F13" s="108"/>
      <c r="G13" s="108"/>
      <c r="H13" s="120"/>
      <c r="I13" s="107"/>
      <c r="J13" s="108"/>
      <c r="K13" s="108"/>
      <c r="L13" s="120"/>
      <c r="M13" s="107"/>
      <c r="N13" s="108"/>
      <c r="O13" s="108"/>
      <c r="P13" s="120"/>
    </row>
    <row r="14" customFormat="false" ht="12.75" hidden="false" customHeight="false" outlineLevel="0" collapsed="false">
      <c r="A14" s="107" t="n">
        <v>9</v>
      </c>
      <c r="B14" s="108" t="n">
        <v>113044</v>
      </c>
      <c r="C14" s="108" t="n">
        <v>111560</v>
      </c>
      <c r="D14" s="120" t="n">
        <f aca="false">+C14-B14</f>
        <v>-1484</v>
      </c>
      <c r="E14" s="107"/>
      <c r="F14" s="108"/>
      <c r="G14" s="108"/>
      <c r="H14" s="120"/>
      <c r="I14" s="107"/>
      <c r="J14" s="108"/>
      <c r="K14" s="108"/>
      <c r="L14" s="120"/>
      <c r="M14" s="107"/>
      <c r="N14" s="108"/>
      <c r="O14" s="108"/>
      <c r="P14" s="120"/>
    </row>
    <row r="15" customFormat="false" ht="12.75" hidden="false" customHeight="false" outlineLevel="0" collapsed="false">
      <c r="A15" s="107" t="n">
        <v>10</v>
      </c>
      <c r="B15" s="108" t="n">
        <v>116403</v>
      </c>
      <c r="C15" s="108" t="n">
        <v>112898</v>
      </c>
      <c r="D15" s="120" t="n">
        <f aca="false">+C15-B15</f>
        <v>-3505</v>
      </c>
      <c r="E15" s="107"/>
      <c r="F15" s="108"/>
      <c r="G15" s="108"/>
      <c r="H15" s="120"/>
      <c r="I15" s="107"/>
      <c r="J15" s="108"/>
      <c r="K15" s="108"/>
      <c r="L15" s="120"/>
      <c r="M15" s="107"/>
      <c r="N15" s="108"/>
      <c r="O15" s="108"/>
      <c r="P15" s="120"/>
    </row>
    <row r="16" customFormat="false" ht="12.75" hidden="false" customHeight="false" outlineLevel="0" collapsed="false">
      <c r="A16" s="107" t="n">
        <v>11</v>
      </c>
      <c r="B16" s="108" t="n">
        <v>103748</v>
      </c>
      <c r="C16" s="108" t="n">
        <v>104833</v>
      </c>
      <c r="D16" s="120" t="n">
        <f aca="false">+C16-B16</f>
        <v>1085</v>
      </c>
      <c r="E16" s="107"/>
      <c r="F16" s="108"/>
      <c r="G16" s="108"/>
      <c r="H16" s="120"/>
      <c r="I16" s="107"/>
      <c r="J16" s="108"/>
      <c r="K16" s="108"/>
      <c r="L16" s="120"/>
      <c r="M16" s="107"/>
      <c r="N16" s="108"/>
      <c r="O16" s="108"/>
      <c r="P16" s="120"/>
    </row>
    <row r="17" customFormat="false" ht="12.75" hidden="false" customHeight="false" outlineLevel="0" collapsed="false">
      <c r="A17" s="107" t="n">
        <v>12</v>
      </c>
      <c r="B17" s="108" t="n">
        <v>107912</v>
      </c>
      <c r="C17" s="108" t="n">
        <v>106898</v>
      </c>
      <c r="D17" s="120" t="n">
        <f aca="false">+C17-B17</f>
        <v>-1014</v>
      </c>
      <c r="E17" s="107"/>
      <c r="F17" s="108"/>
      <c r="G17" s="108"/>
      <c r="H17" s="120"/>
      <c r="I17" s="107"/>
      <c r="J17" s="108"/>
      <c r="K17" s="108"/>
      <c r="L17" s="120"/>
      <c r="M17" s="107"/>
      <c r="N17" s="108"/>
      <c r="O17" s="108"/>
      <c r="P17" s="120"/>
    </row>
    <row r="18" customFormat="false" ht="12.75" hidden="false" customHeight="false" outlineLevel="0" collapsed="false">
      <c r="A18" s="107" t="n">
        <v>13</v>
      </c>
      <c r="B18" s="108" t="n">
        <v>120413</v>
      </c>
      <c r="C18" s="108" t="n">
        <v>125960</v>
      </c>
      <c r="D18" s="120" t="n">
        <f aca="false">+C18-B18</f>
        <v>5547</v>
      </c>
      <c r="E18" s="107"/>
      <c r="F18" s="108"/>
      <c r="G18" s="108"/>
      <c r="H18" s="120"/>
      <c r="I18" s="107"/>
      <c r="J18" s="108"/>
      <c r="K18" s="108"/>
      <c r="L18" s="120"/>
      <c r="M18" s="107"/>
      <c r="N18" s="108"/>
      <c r="O18" s="108"/>
      <c r="P18" s="120"/>
    </row>
    <row r="19" customFormat="false" ht="12.75" hidden="false" customHeight="false" outlineLevel="0" collapsed="false">
      <c r="A19" s="107" t="n">
        <v>14</v>
      </c>
      <c r="B19" s="108" t="n">
        <v>113885</v>
      </c>
      <c r="C19" s="108" t="n">
        <v>111354</v>
      </c>
      <c r="D19" s="120" t="n">
        <f aca="false">+C19-B19</f>
        <v>-2531</v>
      </c>
      <c r="E19" s="107"/>
      <c r="F19" s="108"/>
      <c r="G19" s="108"/>
      <c r="H19" s="120"/>
      <c r="I19" s="107"/>
      <c r="J19" s="108"/>
      <c r="K19" s="108"/>
      <c r="L19" s="120"/>
      <c r="M19" s="107"/>
      <c r="N19" s="108"/>
      <c r="O19" s="108"/>
      <c r="P19" s="120"/>
    </row>
    <row r="20" customFormat="false" ht="12.75" hidden="false" customHeight="false" outlineLevel="0" collapsed="false">
      <c r="A20" s="107" t="n">
        <v>15</v>
      </c>
      <c r="B20" s="108" t="n">
        <v>116049</v>
      </c>
      <c r="C20" s="108" t="n">
        <v>114316</v>
      </c>
      <c r="D20" s="120" t="n">
        <f aca="false">+C20-B20</f>
        <v>-1733</v>
      </c>
      <c r="E20" s="107"/>
      <c r="F20" s="108"/>
      <c r="G20" s="108"/>
      <c r="H20" s="120"/>
      <c r="I20" s="107"/>
      <c r="J20" s="108"/>
      <c r="K20" s="108"/>
      <c r="L20" s="120"/>
      <c r="M20" s="107"/>
      <c r="N20" s="108"/>
      <c r="O20" s="108"/>
      <c r="P20" s="120"/>
    </row>
    <row r="21" customFormat="false" ht="12.75" hidden="false" customHeight="false" outlineLevel="0" collapsed="false">
      <c r="A21" s="107" t="n">
        <v>16</v>
      </c>
      <c r="B21" s="108" t="n">
        <v>112428</v>
      </c>
      <c r="C21" s="108" t="n">
        <v>116998</v>
      </c>
      <c r="D21" s="120" t="n">
        <f aca="false">+C21-B21</f>
        <v>4570</v>
      </c>
      <c r="E21" s="107"/>
      <c r="F21" s="108"/>
      <c r="G21" s="108"/>
      <c r="H21" s="120"/>
      <c r="I21" s="107"/>
      <c r="J21" s="108"/>
      <c r="K21" s="108"/>
      <c r="L21" s="120"/>
      <c r="M21" s="107"/>
      <c r="N21" s="108"/>
      <c r="O21" s="108"/>
      <c r="P21" s="120"/>
    </row>
    <row r="22" customFormat="false" ht="12.75" hidden="false" customHeight="false" outlineLevel="0" collapsed="false">
      <c r="A22" s="107" t="n">
        <v>17</v>
      </c>
      <c r="B22" s="108" t="n">
        <v>107540</v>
      </c>
      <c r="C22" s="108" t="n">
        <v>109346</v>
      </c>
      <c r="D22" s="120" t="n">
        <f aca="false">+C22-B22</f>
        <v>1806</v>
      </c>
      <c r="E22" s="107"/>
      <c r="F22" s="108"/>
      <c r="G22" s="108"/>
      <c r="H22" s="120"/>
      <c r="I22" s="107"/>
      <c r="J22" s="108"/>
      <c r="K22" s="108"/>
      <c r="L22" s="120"/>
      <c r="M22" s="107"/>
      <c r="N22" s="108"/>
      <c r="O22" s="108"/>
      <c r="P22" s="120"/>
    </row>
    <row r="23" customFormat="false" ht="12.75" hidden="false" customHeight="false" outlineLevel="0" collapsed="false">
      <c r="A23" s="107" t="n">
        <v>18</v>
      </c>
      <c r="B23" s="108" t="n">
        <v>103802</v>
      </c>
      <c r="C23" s="108" t="n">
        <v>104079</v>
      </c>
      <c r="D23" s="120" t="n">
        <f aca="false">+C23-B23</f>
        <v>277</v>
      </c>
      <c r="E23" s="107"/>
      <c r="F23" s="108"/>
      <c r="G23" s="108"/>
      <c r="H23" s="120"/>
      <c r="I23" s="107"/>
      <c r="J23" s="108"/>
      <c r="K23" s="108"/>
      <c r="L23" s="120"/>
      <c r="M23" s="107"/>
      <c r="N23" s="108"/>
      <c r="O23" s="108"/>
      <c r="P23" s="120"/>
    </row>
    <row r="24" customFormat="false" ht="12.75" hidden="false" customHeight="false" outlineLevel="0" collapsed="false">
      <c r="A24" s="107" t="n">
        <v>19</v>
      </c>
      <c r="B24" s="108" t="n">
        <v>93807</v>
      </c>
      <c r="C24" s="108" t="n">
        <v>102057</v>
      </c>
      <c r="D24" s="120" t="n">
        <f aca="false">+C24-B24</f>
        <v>8250</v>
      </c>
      <c r="E24" s="107"/>
      <c r="F24" s="108"/>
      <c r="G24" s="108"/>
      <c r="H24" s="120"/>
      <c r="I24" s="107"/>
      <c r="J24" s="108"/>
      <c r="K24" s="108"/>
      <c r="L24" s="120"/>
      <c r="M24" s="107"/>
      <c r="N24" s="108"/>
      <c r="O24" s="108"/>
      <c r="P24" s="120"/>
    </row>
    <row r="25" customFormat="false" ht="12.75" hidden="false" customHeight="false" outlineLevel="0" collapsed="false">
      <c r="A25" s="107" t="n">
        <v>20</v>
      </c>
      <c r="B25" s="108" t="n">
        <v>92618</v>
      </c>
      <c r="C25" s="108" t="n">
        <v>90965</v>
      </c>
      <c r="D25" s="120" t="n">
        <f aca="false">+C25-B25</f>
        <v>-1653</v>
      </c>
      <c r="E25" s="107"/>
      <c r="F25" s="108"/>
      <c r="G25" s="108"/>
      <c r="H25" s="120"/>
      <c r="I25" s="107"/>
      <c r="J25" s="108"/>
      <c r="K25" s="108"/>
      <c r="L25" s="120"/>
      <c r="M25" s="107"/>
      <c r="N25" s="108"/>
      <c r="O25" s="108"/>
      <c r="P25" s="120"/>
    </row>
    <row r="26" customFormat="false" ht="12.75" hidden="false" customHeight="false" outlineLevel="0" collapsed="false">
      <c r="A26" s="107" t="n">
        <v>21</v>
      </c>
      <c r="B26" s="108" t="n">
        <v>103978</v>
      </c>
      <c r="C26" s="108" t="n">
        <v>103248</v>
      </c>
      <c r="D26" s="120" t="n">
        <f aca="false">+C26-B26</f>
        <v>-730</v>
      </c>
      <c r="E26" s="107"/>
      <c r="F26" s="108"/>
      <c r="G26" s="108"/>
      <c r="H26" s="120"/>
      <c r="I26" s="107"/>
      <c r="J26" s="108"/>
      <c r="K26" s="108"/>
      <c r="L26" s="120"/>
      <c r="M26" s="107"/>
      <c r="N26" s="108"/>
      <c r="O26" s="108"/>
      <c r="P26" s="120"/>
    </row>
    <row r="27" customFormat="false" ht="12.75" hidden="false" customHeight="false" outlineLevel="0" collapsed="false">
      <c r="A27" s="107" t="n">
        <v>22</v>
      </c>
      <c r="B27" s="108" t="n">
        <v>136225</v>
      </c>
      <c r="C27" s="108" t="n">
        <v>140467</v>
      </c>
      <c r="D27" s="120" t="n">
        <f aca="false">+C27-B27</f>
        <v>4242</v>
      </c>
      <c r="E27" s="107"/>
      <c r="F27" s="108"/>
      <c r="G27" s="108"/>
      <c r="H27" s="120"/>
      <c r="I27" s="107"/>
      <c r="J27" s="108"/>
      <c r="K27" s="108"/>
      <c r="L27" s="120"/>
      <c r="M27" s="107"/>
      <c r="N27" s="108"/>
      <c r="O27" s="108"/>
      <c r="P27" s="120"/>
    </row>
    <row r="28" customFormat="false" ht="12.75" hidden="false" customHeight="false" outlineLevel="0" collapsed="false">
      <c r="A28" s="107" t="n">
        <v>23</v>
      </c>
      <c r="B28" s="108" t="n">
        <v>134427</v>
      </c>
      <c r="C28" s="108" t="n">
        <v>130259</v>
      </c>
      <c r="D28" s="120" t="n">
        <f aca="false">+C28-B28</f>
        <v>-4168</v>
      </c>
      <c r="E28" s="107"/>
      <c r="F28" s="108"/>
      <c r="G28" s="108"/>
      <c r="H28" s="120"/>
      <c r="I28" s="107"/>
      <c r="J28" s="108"/>
      <c r="K28" s="108"/>
      <c r="L28" s="120"/>
      <c r="M28" s="107"/>
      <c r="N28" s="108"/>
      <c r="O28" s="108"/>
      <c r="P28" s="120"/>
    </row>
    <row r="29" customFormat="false" ht="12.75" hidden="false" customHeight="false" outlineLevel="0" collapsed="false">
      <c r="A29" s="107" t="n">
        <v>24</v>
      </c>
      <c r="B29" s="108" t="n">
        <v>130095</v>
      </c>
      <c r="C29" s="108" t="n">
        <v>130206</v>
      </c>
      <c r="D29" s="120" t="n">
        <f aca="false">+C29-B29</f>
        <v>111</v>
      </c>
      <c r="E29" s="107"/>
      <c r="F29" s="108"/>
      <c r="G29" s="108"/>
      <c r="H29" s="120"/>
      <c r="I29" s="107"/>
      <c r="J29" s="108"/>
      <c r="K29" s="108"/>
      <c r="L29" s="120"/>
      <c r="M29" s="107"/>
      <c r="N29" s="108"/>
      <c r="O29" s="108"/>
      <c r="P29" s="120"/>
    </row>
    <row r="30" customFormat="false" ht="12.75" hidden="false" customHeight="false" outlineLevel="0" collapsed="false">
      <c r="A30" s="107" t="n">
        <v>25</v>
      </c>
      <c r="B30" s="108" t="n">
        <v>108803</v>
      </c>
      <c r="C30" s="108" t="n">
        <v>109705</v>
      </c>
      <c r="D30" s="120" t="n">
        <f aca="false">+C30-B30</f>
        <v>902</v>
      </c>
      <c r="E30" s="107"/>
      <c r="F30" s="108"/>
      <c r="G30" s="108"/>
      <c r="H30" s="120"/>
      <c r="I30" s="107"/>
      <c r="J30" s="108"/>
      <c r="K30" s="108"/>
      <c r="L30" s="120"/>
      <c r="M30" s="107"/>
      <c r="N30" s="108"/>
      <c r="O30" s="108"/>
      <c r="P30" s="120"/>
    </row>
    <row r="31" customFormat="false" ht="12.75" hidden="false" customHeight="false" outlineLevel="0" collapsed="false">
      <c r="A31" s="107" t="n">
        <v>26</v>
      </c>
      <c r="B31" s="108" t="n">
        <v>92412</v>
      </c>
      <c r="C31" s="108" t="n">
        <v>91396</v>
      </c>
      <c r="D31" s="120" t="n">
        <f aca="false">+C31-B31</f>
        <v>-1016</v>
      </c>
      <c r="E31" s="107"/>
      <c r="F31" s="108"/>
      <c r="G31" s="108"/>
      <c r="H31" s="120"/>
      <c r="I31" s="107"/>
      <c r="J31" s="108"/>
      <c r="K31" s="108"/>
      <c r="L31" s="120"/>
      <c r="M31" s="107"/>
      <c r="N31" s="108"/>
      <c r="O31" s="108"/>
      <c r="P31" s="120"/>
    </row>
    <row r="32" customFormat="false" ht="12.75" hidden="false" customHeight="false" outlineLevel="0" collapsed="false">
      <c r="A32" s="107" t="n">
        <v>27</v>
      </c>
      <c r="B32" s="108" t="n">
        <v>90203</v>
      </c>
      <c r="C32" s="108" t="n">
        <v>88527</v>
      </c>
      <c r="D32" s="120" t="n">
        <f aca="false">+C32-B32</f>
        <v>-1676</v>
      </c>
      <c r="E32" s="107"/>
      <c r="F32" s="108"/>
      <c r="G32" s="108"/>
      <c r="H32" s="120"/>
      <c r="I32" s="107"/>
      <c r="J32" s="108"/>
      <c r="K32" s="108"/>
      <c r="L32" s="120"/>
      <c r="M32" s="107"/>
      <c r="N32" s="108"/>
      <c r="O32" s="108"/>
      <c r="P32" s="120"/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  <c r="E33" s="107"/>
      <c r="F33" s="108"/>
      <c r="G33" s="108"/>
      <c r="H33" s="120"/>
      <c r="I33" s="107"/>
      <c r="J33" s="108"/>
      <c r="K33" s="108"/>
      <c r="L33" s="120"/>
      <c r="M33" s="107"/>
      <c r="N33" s="108"/>
      <c r="O33" s="108"/>
      <c r="P33" s="120"/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  <c r="E34" s="107"/>
      <c r="F34" s="108"/>
      <c r="G34" s="108"/>
      <c r="H34" s="120"/>
      <c r="I34" s="107"/>
      <c r="J34" s="108"/>
      <c r="K34" s="108"/>
      <c r="L34" s="120"/>
      <c r="M34" s="107"/>
      <c r="N34" s="108"/>
      <c r="O34" s="108"/>
      <c r="P34" s="120"/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  <c r="E35" s="107"/>
      <c r="F35" s="108"/>
      <c r="G35" s="108"/>
      <c r="H35" s="120"/>
      <c r="I35" s="107"/>
      <c r="J35" s="108"/>
      <c r="K35" s="108"/>
      <c r="L35" s="120"/>
      <c r="M35" s="107"/>
      <c r="N35" s="108"/>
      <c r="O35" s="108"/>
      <c r="P35" s="120"/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  <c r="E36" s="107"/>
      <c r="F36" s="108"/>
      <c r="G36" s="108"/>
      <c r="H36" s="120"/>
      <c r="I36" s="107"/>
      <c r="J36" s="108"/>
      <c r="K36" s="108"/>
      <c r="L36" s="120"/>
      <c r="M36" s="107"/>
      <c r="N36" s="108"/>
      <c r="O36" s="108"/>
      <c r="P36" s="120"/>
    </row>
    <row r="37" customFormat="false" ht="12.75" hidden="false" customHeight="false" outlineLevel="0" collapsed="false">
      <c r="A37" s="107"/>
      <c r="B37" s="108" t="n">
        <f aca="false">SUM(B6:B36)</f>
        <v>2990661</v>
      </c>
      <c r="C37" s="108" t="n">
        <f aca="false">SUM(C6:C36)</f>
        <v>3032451</v>
      </c>
      <c r="D37" s="108" t="n">
        <f aca="false">SUM(D6:D36)</f>
        <v>41790</v>
      </c>
      <c r="E37" s="107"/>
      <c r="F37" s="108"/>
      <c r="G37" s="108"/>
      <c r="H37" s="108"/>
      <c r="I37" s="217"/>
      <c r="J37" s="108"/>
      <c r="K37" s="108"/>
      <c r="L37" s="108"/>
      <c r="M37" s="107"/>
      <c r="N37" s="108"/>
      <c r="O37" s="108"/>
      <c r="P37" s="108"/>
    </row>
    <row r="38" customFormat="false" ht="12.75" hidden="false" customHeight="false" outlineLevel="0" collapsed="false">
      <c r="A38" s="134"/>
      <c r="C38" s="30"/>
      <c r="E38" s="134"/>
      <c r="G38" s="30"/>
      <c r="H38" s="201"/>
      <c r="I38" s="218"/>
      <c r="J38" s="201"/>
      <c r="K38" s="30"/>
      <c r="L38" s="201"/>
      <c r="M38" s="134"/>
      <c r="O38" s="30"/>
    </row>
    <row r="39" customFormat="false" ht="12.75" hidden="false" customHeight="false" outlineLevel="0" collapsed="false">
      <c r="A39" s="152" t="n">
        <v>37103</v>
      </c>
      <c r="C39" s="79"/>
      <c r="D39" s="154" t="n">
        <v>54883</v>
      </c>
      <c r="E39" s="152"/>
      <c r="G39" s="79"/>
      <c r="H39" s="108"/>
      <c r="I39" s="219"/>
      <c r="J39" s="201"/>
      <c r="K39" s="220"/>
      <c r="L39" s="108"/>
      <c r="M39" s="152"/>
      <c r="O39" s="79"/>
      <c r="P39" s="108"/>
    </row>
    <row r="40" customFormat="false" ht="12.75" hidden="false" customHeight="false" outlineLevel="0" collapsed="false">
      <c r="A40" s="152" t="n">
        <v>37130</v>
      </c>
      <c r="C40" s="151"/>
      <c r="D40" s="120" t="n">
        <f aca="false">+D39+D37</f>
        <v>96673</v>
      </c>
      <c r="E40" s="152"/>
      <c r="G40" s="151"/>
      <c r="H40" s="199"/>
      <c r="I40" s="219"/>
      <c r="J40" s="201"/>
      <c r="K40" s="151"/>
      <c r="L40" s="199"/>
      <c r="M40" s="152"/>
      <c r="O40" s="151"/>
      <c r="P40" s="213"/>
    </row>
    <row r="41" customFormat="false" ht="12.75" hidden="false" customHeight="false" outlineLevel="0" collapsed="false">
      <c r="C41" s="16"/>
      <c r="H41" s="201"/>
      <c r="I41" s="201"/>
      <c r="J41" s="201"/>
      <c r="K41" s="201"/>
      <c r="L41" s="201"/>
    </row>
    <row r="42" customFormat="false" ht="12.75" hidden="false" customHeight="false" outlineLevel="0" collapsed="false">
      <c r="A42" s="152"/>
      <c r="C42" s="153"/>
      <c r="D42" s="120"/>
      <c r="H42" s="201"/>
      <c r="I42" s="201"/>
      <c r="J42" s="201"/>
      <c r="K42" s="201"/>
      <c r="L42" s="201"/>
    </row>
    <row r="43" customFormat="false" ht="12.75" hidden="false" customHeight="false" outlineLevel="0" collapsed="false">
      <c r="A43" s="152"/>
      <c r="C43" s="153"/>
      <c r="H43" s="201"/>
      <c r="I43" s="201"/>
      <c r="J43" s="201"/>
      <c r="K43" s="201"/>
      <c r="L43" s="201"/>
    </row>
    <row r="44" customFormat="false" ht="12.75" hidden="false" customHeight="false" outlineLevel="0" collapsed="false">
      <c r="A44" s="9" t="s">
        <v>120</v>
      </c>
      <c r="B44" s="9"/>
      <c r="C44" s="9"/>
      <c r="D44" s="16"/>
      <c r="H44" s="201"/>
      <c r="I44" s="201"/>
      <c r="J44" s="201"/>
      <c r="K44" s="201"/>
      <c r="L44" s="201"/>
    </row>
    <row r="45" customFormat="false" ht="12.75" hidden="false" customHeight="false" outlineLevel="0" collapsed="false">
      <c r="A45" s="124" t="n">
        <f aca="false">+A39</f>
        <v>37103</v>
      </c>
      <c r="B45" s="9"/>
      <c r="C45" s="9"/>
      <c r="D45" s="58" t="n">
        <v>411751.53</v>
      </c>
    </row>
    <row r="46" customFormat="false" ht="12.75" hidden="false" customHeight="false" outlineLevel="0" collapsed="false">
      <c r="A46" s="124" t="n">
        <f aca="false">+A40</f>
        <v>37130</v>
      </c>
      <c r="B46" s="9"/>
      <c r="C46" s="9"/>
      <c r="D46" s="126" t="n">
        <f aca="false">+D37*'by type'!J3</f>
        <v>109907.7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521659.23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2001-08-27T14:52:37Z</cp:lastPrinted>
  <dcterms:modified xsi:type="dcterms:W3CDTF">2001-08-29T18:00:03Z</dcterms:modified>
  <cp:revision>0</cp:revision>
  <dc:subject/>
  <dc:title/>
</cp:coreProperties>
</file>