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oals" sheetId="1" state="visible" r:id="rId3"/>
    <sheet name="Sheet1" sheetId="2" state="visible" r:id="rId4"/>
    <sheet name="npv" sheetId="3" state="visible" r:id="rId5"/>
    <sheet name="riddle" sheetId="4" state="visible" r:id="rId6"/>
    <sheet name="Sheet11" sheetId="5" state="visible" r:id="rId7"/>
    <sheet name="Sheet15" sheetId="6" state="visible" r:id="rId8"/>
    <sheet name="Sheet16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<sst xmlns="http://schemas.openxmlformats.org/spreadsheetml/2006/main" count="115" uniqueCount="51">
  <si>
    <t xml:space="preserve">4 plex</t>
  </si>
  <si>
    <t xml:space="preserve">herndon</t>
  </si>
  <si>
    <t xml:space="preserve">Mitchell</t>
  </si>
  <si>
    <t xml:space="preserve">fixer upper</t>
  </si>
  <si>
    <t xml:space="preserve">new</t>
  </si>
  <si>
    <t xml:space="preserve">Purchase price</t>
  </si>
  <si>
    <t xml:space="preserve">Interest</t>
  </si>
  <si>
    <t xml:space="preserve">Years</t>
  </si>
  <si>
    <t xml:space="preserve">Downpayment</t>
  </si>
  <si>
    <t xml:space="preserve">Payment</t>
  </si>
  <si>
    <t xml:space="preserve">Taxes</t>
  </si>
  <si>
    <t xml:space="preserve">Water</t>
  </si>
  <si>
    <t xml:space="preserve">Insurance</t>
  </si>
  <si>
    <t xml:space="preserve">Maintenance</t>
  </si>
  <si>
    <t xml:space="preserve">   Total Expenses</t>
  </si>
  <si>
    <t xml:space="preserve">Rent</t>
  </si>
  <si>
    <t xml:space="preserve">Monthly Net</t>
  </si>
  <si>
    <t xml:space="preserve">Annual Net</t>
  </si>
  <si>
    <t xml:space="preserve">Annual Return</t>
  </si>
  <si>
    <t xml:space="preserve">Garage Apartment</t>
  </si>
  <si>
    <t xml:space="preserve">Total Net</t>
  </si>
  <si>
    <t xml:space="preserve">Total Return</t>
  </si>
  <si>
    <t xml:space="preserve">Total Investment</t>
  </si>
  <si>
    <t xml:space="preserve">Financed Charges</t>
  </si>
  <si>
    <t xml:space="preserve">rent-exp</t>
  </si>
  <si>
    <t xml:space="preserve">cash outlay</t>
  </si>
  <si>
    <t xml:space="preserve">net cash</t>
  </si>
  <si>
    <t xml:space="preserve">15 year irr</t>
  </si>
  <si>
    <t xml:space="preserve">Interest Exp.</t>
  </si>
  <si>
    <t xml:space="preserve">Payments</t>
  </si>
  <si>
    <t xml:space="preserve">Principal</t>
  </si>
  <si>
    <t xml:space="preserve">Prin. Bal</t>
  </si>
  <si>
    <t xml:space="preserve">Assumptions</t>
  </si>
  <si>
    <t xml:space="preserve">Annual Rent</t>
  </si>
  <si>
    <t xml:space="preserve">Closing Cost</t>
  </si>
  <si>
    <t xml:space="preserve">Operating Exp</t>
  </si>
  <si>
    <t xml:space="preserve">Downpayment %</t>
  </si>
  <si>
    <t xml:space="preserve">NOI</t>
  </si>
  <si>
    <t xml:space="preserve">Monthly</t>
  </si>
  <si>
    <t xml:space="preserve">Annual</t>
  </si>
  <si>
    <t xml:space="preserve">x</t>
  </si>
  <si>
    <t xml:space="preserve">Purchase Price</t>
  </si>
  <si>
    <t xml:space="preserve">Management</t>
  </si>
  <si>
    <t xml:space="preserve">Utilities</t>
  </si>
  <si>
    <t xml:space="preserve">Cap Rate</t>
  </si>
  <si>
    <t xml:space="preserve">   Operating Expenses</t>
  </si>
  <si>
    <t xml:space="preserve">Mortgage</t>
  </si>
  <si>
    <t xml:space="preserve">msft</t>
  </si>
  <si>
    <t xml:space="preserve">interest</t>
  </si>
  <si>
    <t xml:space="preserve">deprec</t>
  </si>
  <si>
    <t xml:space="preserve">taxable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</si>
</sst>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%"/>
    <numFmt numFmtId="166" formatCode="0.00%"/>
    <numFmt numFmtId="167" formatCode="\$#,##0_);[RED]&quot;($&quot;#,##0\)"/>
    <numFmt numFmtId="168" formatCode="0"/>
    <numFmt numFmtId="169" formatCode="0.0%"/>
    <numFmt numFmtId="170" formatCode="0.00"/>
    <numFmt numFmtId="171" formatCode="_(* #,##0.00_);_(* \(#,##0.00\);_(* \-??_);_(@_)"/>
    <numFmt numFmtId="172" formatCode="_(* #,##0_);_(* \(#,##0\);_(* \-??_);_(@_)"/>
    <numFmt numFmtId="173" formatCode="_(\$* #,##0.00_);_(\$* \(#,##0.00\);_(\$* \-??_);_(@_)"/>
    <numFmt numFmtId="174" formatCode="_(\$* #,##0_);_(\$* \(#,##0\);_(\$* \-??_);_(@_)"/>
    <numFmt numFmtId="175" formatCode="\$#,##0.00_);[RED]&quot;($&quot;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6" activeCellId="0" sqref="H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56"/>
  </cols>
  <sheetData>
    <row r="1" customFormat="false" ht="20.25" hidden="false" customHeight="true" outlineLevel="0" collapsed="false"/>
    <row r="4" customFormat="false" ht="12.75" hidden="false" customHeight="false" outlineLevel="0" collapsed="false">
      <c r="F4" s="0" t="s">
        <v>0</v>
      </c>
      <c r="H4" s="0" t="s">
        <v>0</v>
      </c>
      <c r="J4" s="0" t="s">
        <v>1</v>
      </c>
    </row>
    <row r="5" customFormat="false" ht="12.75" hidden="false" customHeight="false" outlineLevel="0" collapsed="false">
      <c r="D5" s="0" t="s">
        <v>2</v>
      </c>
      <c r="F5" s="0" t="s">
        <v>3</v>
      </c>
      <c r="H5" s="0" t="s">
        <v>4</v>
      </c>
    </row>
    <row r="6" customFormat="false" ht="12.75" hidden="false" customHeight="false" outlineLevel="0" collapsed="false">
      <c r="B6" s="0" t="s">
        <v>5</v>
      </c>
      <c r="D6" s="0" t="n">
        <v>70000</v>
      </c>
      <c r="F6" s="0" t="n">
        <f aca="false">115000+125000+30000</f>
        <v>270000</v>
      </c>
      <c r="H6" s="0" t="n">
        <f aca="false">250000</f>
        <v>250000</v>
      </c>
      <c r="J6" s="0" t="n">
        <v>1000000</v>
      </c>
    </row>
    <row r="7" customFormat="false" ht="12.75" hidden="false" customHeight="false" outlineLevel="0" collapsed="false">
      <c r="B7" s="0" t="s">
        <v>6</v>
      </c>
      <c r="D7" s="1" t="n">
        <v>0.065</v>
      </c>
      <c r="F7" s="1" t="n">
        <v>0.065</v>
      </c>
      <c r="H7" s="1" t="n">
        <v>0.065</v>
      </c>
      <c r="J7" s="1" t="n">
        <v>0.0675</v>
      </c>
    </row>
    <row r="8" customFormat="false" ht="12.75" hidden="false" customHeight="false" outlineLevel="0" collapsed="false">
      <c r="B8" s="0" t="s">
        <v>7</v>
      </c>
      <c r="D8" s="0" t="n">
        <v>30</v>
      </c>
      <c r="F8" s="0" t="n">
        <v>30</v>
      </c>
      <c r="H8" s="0" t="n">
        <v>30</v>
      </c>
      <c r="J8" s="0" t="n">
        <v>30</v>
      </c>
    </row>
    <row r="9" customFormat="false" ht="12.75" hidden="false" customHeight="false" outlineLevel="0" collapsed="false">
      <c r="B9" s="0" t="s">
        <v>8</v>
      </c>
      <c r="D9" s="0" t="n">
        <f aca="false">D6*0.2</f>
        <v>14000</v>
      </c>
      <c r="F9" s="0" t="n">
        <f aca="false">F6*0.2</f>
        <v>54000</v>
      </c>
      <c r="H9" s="0" t="n">
        <f aca="false">H6*0.2</f>
        <v>50000</v>
      </c>
      <c r="J9" s="0" t="n">
        <f aca="false">J6*0.3+40000</f>
        <v>340000</v>
      </c>
    </row>
    <row r="12" customFormat="false" ht="12.75" hidden="false" customHeight="false" outlineLevel="0" collapsed="false">
      <c r="B12" s="0" t="s">
        <v>9</v>
      </c>
      <c r="D12" s="2" t="n">
        <f aca="false">PMT(D7/12,D8*12,D6*0.8)</f>
        <v>-353.95809315606</v>
      </c>
      <c r="F12" s="2" t="n">
        <f aca="false">PMT(F7/12,F8*12,F6*0.8)</f>
        <v>-1365.2669307448</v>
      </c>
      <c r="H12" s="2" t="n">
        <f aca="false">PMT(H7/12,H8*12,H6*0.8)</f>
        <v>-1264.13604698593</v>
      </c>
      <c r="J12" s="2" t="n">
        <f aca="false">PMT(J7/12,J8*12,J6*0.7)</f>
        <v>-4540.18667597751</v>
      </c>
    </row>
    <row r="13" customFormat="false" ht="12.75" hidden="false" customHeight="false" outlineLevel="0" collapsed="false">
      <c r="B13" s="0" t="s">
        <v>10</v>
      </c>
      <c r="D13" s="3" t="n">
        <f aca="false">-D6*0.02/12</f>
        <v>-116.666666666667</v>
      </c>
      <c r="F13" s="3" t="n">
        <f aca="false">-F6*0.02/12</f>
        <v>-450</v>
      </c>
      <c r="H13" s="3" t="n">
        <f aca="false">-H6*0.02/12</f>
        <v>-416.666666666667</v>
      </c>
      <c r="J13" s="3" t="n">
        <f aca="false">J6*-0.025/12</f>
        <v>-2083.33333333333</v>
      </c>
    </row>
    <row r="14" customFormat="false" ht="12.75" hidden="false" customHeight="false" outlineLevel="0" collapsed="false">
      <c r="B14" s="0" t="s">
        <v>11</v>
      </c>
      <c r="D14" s="3"/>
      <c r="F14" s="3"/>
      <c r="H14" s="3"/>
      <c r="J14" s="3" t="n">
        <v>-700</v>
      </c>
    </row>
    <row r="15" customFormat="false" ht="12.75" hidden="false" customHeight="false" outlineLevel="0" collapsed="false">
      <c r="B15" s="0" t="s">
        <v>12</v>
      </c>
      <c r="D15" s="0" t="n">
        <v>-40</v>
      </c>
      <c r="F15" s="0" t="n">
        <v>-100</v>
      </c>
      <c r="H15" s="0" t="n">
        <v>-100</v>
      </c>
      <c r="J15" s="0" t="n">
        <v>-400</v>
      </c>
    </row>
    <row r="16" customFormat="false" ht="12.75" hidden="false" customHeight="false" outlineLevel="0" collapsed="false">
      <c r="B16" s="0" t="s">
        <v>13</v>
      </c>
      <c r="D16" s="4" t="n">
        <v>-50</v>
      </c>
      <c r="F16" s="4" t="n">
        <v>-150</v>
      </c>
      <c r="H16" s="4" t="n">
        <v>-150</v>
      </c>
      <c r="J16" s="4" t="n">
        <v>-2000</v>
      </c>
    </row>
    <row r="17" customFormat="false" ht="12.75" hidden="false" customHeight="false" outlineLevel="0" collapsed="false">
      <c r="B17" s="0" t="s">
        <v>14</v>
      </c>
      <c r="D17" s="2" t="n">
        <f aca="false">SUM(D12:D16)</f>
        <v>-560.624759822726</v>
      </c>
      <c r="F17" s="2" t="n">
        <f aca="false">SUM(F12:F16)</f>
        <v>-2065.2669307448</v>
      </c>
      <c r="H17" s="2" t="n">
        <f aca="false">SUM(H12:H16)</f>
        <v>-1930.80271365259</v>
      </c>
      <c r="J17" s="2" t="n">
        <f aca="false">SUM(J12:J16)</f>
        <v>-9723.52000931084</v>
      </c>
    </row>
    <row r="19" customFormat="false" ht="12.75" hidden="false" customHeight="false" outlineLevel="0" collapsed="false">
      <c r="B19" s="0" t="s">
        <v>15</v>
      </c>
      <c r="D19" s="0" t="n">
        <v>700</v>
      </c>
      <c r="F19" s="0" t="n">
        <f aca="false">700*4</f>
        <v>2800</v>
      </c>
      <c r="H19" s="0" t="n">
        <f aca="false">700*4</f>
        <v>2800</v>
      </c>
      <c r="J19" s="0" t="n">
        <f aca="false">(750*6+12*500+12*650)*0.75</f>
        <v>13725</v>
      </c>
    </row>
    <row r="21" customFormat="false" ht="12.75" hidden="false" customHeight="false" outlineLevel="0" collapsed="false">
      <c r="B21" s="0" t="s">
        <v>16</v>
      </c>
      <c r="D21" s="2" t="n">
        <f aca="false">D19+D17</f>
        <v>139.375240177274</v>
      </c>
      <c r="F21" s="2" t="n">
        <f aca="false">F19+F17</f>
        <v>734.733069255198</v>
      </c>
      <c r="H21" s="2" t="n">
        <f aca="false">H19+H17</f>
        <v>869.197286347406</v>
      </c>
      <c r="J21" s="2" t="n">
        <f aca="false">J19+J17</f>
        <v>4001.47999068916</v>
      </c>
    </row>
    <row r="23" customFormat="false" ht="12.75" hidden="false" customHeight="false" outlineLevel="0" collapsed="false">
      <c r="B23" s="0" t="s">
        <v>17</v>
      </c>
      <c r="D23" s="3" t="n">
        <f aca="false">D21*12</f>
        <v>1672.50288212728</v>
      </c>
      <c r="F23" s="3" t="n">
        <f aca="false">F21*12</f>
        <v>8816.79683106238</v>
      </c>
      <c r="H23" s="3" t="n">
        <f aca="false">H21*12</f>
        <v>10430.3674361689</v>
      </c>
      <c r="J23" s="3" t="n">
        <f aca="false">J21*12</f>
        <v>48017.7598882699</v>
      </c>
    </row>
    <row r="25" customFormat="false" ht="12.75" hidden="false" customHeight="false" outlineLevel="0" collapsed="false">
      <c r="B25" s="0" t="s">
        <v>18</v>
      </c>
      <c r="D25" s="5" t="n">
        <f aca="false">D23/D9</f>
        <v>0.11946449158052</v>
      </c>
      <c r="F25" s="5" t="n">
        <f aca="false">F23/F9</f>
        <v>0.163274015390044</v>
      </c>
      <c r="H25" s="5" t="n">
        <f aca="false">H23/H9</f>
        <v>0.208607348723377</v>
      </c>
      <c r="J25" s="5" t="n">
        <f aca="false">J23/J9</f>
        <v>0.141228705553735</v>
      </c>
    </row>
    <row r="27" customFormat="false" ht="12.75" hidden="false" customHeight="false" outlineLevel="0" collapsed="false">
      <c r="B27" s="0" t="s">
        <v>19</v>
      </c>
      <c r="D27" s="0" t="n">
        <v>45000</v>
      </c>
    </row>
    <row r="28" customFormat="false" ht="12.75" hidden="false" customHeight="false" outlineLevel="0" collapsed="false">
      <c r="B28" s="0" t="s">
        <v>6</v>
      </c>
      <c r="D28" s="1" t="n">
        <v>0.06375</v>
      </c>
    </row>
    <row r="29" customFormat="false" ht="12.75" hidden="false" customHeight="false" outlineLevel="0" collapsed="false">
      <c r="B29" s="0" t="s">
        <v>7</v>
      </c>
      <c r="D29" s="0" t="n">
        <v>30</v>
      </c>
    </row>
    <row r="30" customFormat="false" ht="12.75" hidden="false" customHeight="false" outlineLevel="0" collapsed="false">
      <c r="B30" s="0" t="s">
        <v>8</v>
      </c>
      <c r="D30" s="0" t="n">
        <f aca="false">D27*0.2</f>
        <v>9000</v>
      </c>
    </row>
    <row r="33" customFormat="false" ht="12.75" hidden="false" customHeight="false" outlineLevel="0" collapsed="false">
      <c r="B33" s="0" t="s">
        <v>9</v>
      </c>
      <c r="D33" s="2" t="n">
        <f aca="false">PMT(D28/12,D29*12,D27*0.8)</f>
        <v>-224.593163578491</v>
      </c>
    </row>
    <row r="34" customFormat="false" ht="12.75" hidden="false" customHeight="false" outlineLevel="0" collapsed="false">
      <c r="B34" s="0" t="s">
        <v>10</v>
      </c>
      <c r="D34" s="3" t="n">
        <f aca="false">-D27*0.02/12</f>
        <v>-75</v>
      </c>
    </row>
    <row r="35" customFormat="false" ht="12.75" hidden="false" customHeight="false" outlineLevel="0" collapsed="false">
      <c r="B35" s="0" t="s">
        <v>12</v>
      </c>
      <c r="D35" s="0" t="n">
        <v>-30</v>
      </c>
    </row>
    <row r="36" customFormat="false" ht="12.75" hidden="false" customHeight="false" outlineLevel="0" collapsed="false">
      <c r="B36" s="0" t="s">
        <v>13</v>
      </c>
      <c r="D36" s="6" t="n">
        <f aca="false">-500/12</f>
        <v>-41.6666666666667</v>
      </c>
    </row>
    <row r="37" customFormat="false" ht="12.75" hidden="false" customHeight="false" outlineLevel="0" collapsed="false">
      <c r="B37" s="0" t="s">
        <v>14</v>
      </c>
      <c r="D37" s="2" t="n">
        <f aca="false">SUM(D33:D36)</f>
        <v>-371.259830245158</v>
      </c>
    </row>
    <row r="39" customFormat="false" ht="12.75" hidden="false" customHeight="false" outlineLevel="0" collapsed="false">
      <c r="B39" s="0" t="s">
        <v>15</v>
      </c>
      <c r="D39" s="0" t="n">
        <v>500</v>
      </c>
    </row>
    <row r="41" customFormat="false" ht="12.75" hidden="false" customHeight="false" outlineLevel="0" collapsed="false">
      <c r="B41" s="0" t="s">
        <v>16</v>
      </c>
      <c r="D41" s="2" t="n">
        <f aca="false">D39+D37</f>
        <v>128.740169754842</v>
      </c>
    </row>
    <row r="43" customFormat="false" ht="12.75" hidden="false" customHeight="false" outlineLevel="0" collapsed="false">
      <c r="B43" s="0" t="s">
        <v>17</v>
      </c>
      <c r="D43" s="3" t="n">
        <f aca="false">D41*12</f>
        <v>1544.88203705811</v>
      </c>
    </row>
    <row r="45" customFormat="false" ht="12.75" hidden="false" customHeight="false" outlineLevel="0" collapsed="false">
      <c r="B45" s="0" t="s">
        <v>18</v>
      </c>
      <c r="D45" s="5" t="n">
        <f aca="false">D43/D30</f>
        <v>0.171653559673123</v>
      </c>
    </row>
    <row r="48" customFormat="false" ht="12.75" hidden="false" customHeight="false" outlineLevel="0" collapsed="false">
      <c r="B48" s="0" t="s">
        <v>20</v>
      </c>
      <c r="D48" s="3" t="n">
        <f aca="false">D43+D23</f>
        <v>3217.38491918539</v>
      </c>
    </row>
    <row r="50" customFormat="false" ht="12.75" hidden="false" customHeight="false" outlineLevel="0" collapsed="false">
      <c r="B50" s="0" t="s">
        <v>21</v>
      </c>
      <c r="D50" s="5" t="n">
        <f aca="false">D48/D52</f>
        <v>0.139886300834147</v>
      </c>
    </row>
    <row r="52" customFormat="false" ht="12.75" hidden="false" customHeight="false" outlineLevel="0" collapsed="false">
      <c r="B52" s="0" t="s">
        <v>22</v>
      </c>
      <c r="D52" s="0" t="n">
        <f aca="false">D30+D9</f>
        <v>23000</v>
      </c>
    </row>
  </sheetData>
  <printOptions headings="false" gridLines="false" gridLinesSet="true" horizontalCentered="false" verticalCentered="false"/>
  <pageMargins left="0.747916666666667" right="0.747916666666667" top="0.5" bottom="0.609722222222222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D35" activeCellId="0" sqref="D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3" min="3" style="0" width="10.71"/>
    <col collapsed="false" customWidth="true" hidden="false" outlineLevel="0" max="34" min="4" style="0" width="11.99"/>
  </cols>
  <sheetData>
    <row r="1" customFormat="false" ht="12.75" hidden="false" customHeight="false" outlineLevel="0" collapsed="false">
      <c r="D1" s="0" t="s">
        <v>1</v>
      </c>
    </row>
    <row r="3" customFormat="false" ht="12.75" hidden="false" customHeight="false" outlineLevel="0" collapsed="false">
      <c r="B3" s="0" t="s">
        <v>5</v>
      </c>
      <c r="D3" s="7" t="n">
        <v>900000</v>
      </c>
    </row>
    <row r="4" customFormat="false" ht="12.75" hidden="false" customHeight="false" outlineLevel="0" collapsed="false">
      <c r="B4" s="0" t="s">
        <v>6</v>
      </c>
      <c r="D4" s="1" t="n">
        <v>0.085</v>
      </c>
    </row>
    <row r="5" customFormat="false" ht="12.75" hidden="false" customHeight="false" outlineLevel="0" collapsed="false">
      <c r="B5" s="0" t="s">
        <v>7</v>
      </c>
      <c r="D5" s="0" t="n">
        <v>15</v>
      </c>
    </row>
    <row r="6" customFormat="false" ht="12.75" hidden="false" customHeight="false" outlineLevel="0" collapsed="false">
      <c r="B6" s="0" t="s">
        <v>8</v>
      </c>
      <c r="D6" s="8" t="n">
        <f aca="false">D3*0.3</f>
        <v>270000</v>
      </c>
    </row>
    <row r="7" customFormat="false" ht="12.75" hidden="false" customHeight="false" outlineLevel="0" collapsed="false">
      <c r="B7" s="0" t="s">
        <v>23</v>
      </c>
      <c r="D7" s="0" t="n">
        <f aca="false">(D3-D6)*0.035</f>
        <v>22050</v>
      </c>
    </row>
    <row r="9" customFormat="false" ht="12.75" hidden="false" customHeight="false" outlineLevel="0" collapsed="false">
      <c r="B9" s="0" t="s">
        <v>9</v>
      </c>
      <c r="D9" s="2" t="n">
        <f aca="false">PMT(D4/12,D5*12,D3*0.7+D7)</f>
        <v>-6420.99428745383</v>
      </c>
    </row>
    <row r="10" customFormat="false" ht="12.75" hidden="false" customHeight="false" outlineLevel="0" collapsed="false">
      <c r="B10" s="0" t="s">
        <v>10</v>
      </c>
      <c r="D10" s="3" t="n">
        <f aca="false">D3*-0.025/12</f>
        <v>-1875</v>
      </c>
    </row>
    <row r="11" customFormat="false" ht="12.75" hidden="false" customHeight="false" outlineLevel="0" collapsed="false">
      <c r="B11" s="0" t="s">
        <v>11</v>
      </c>
      <c r="D11" s="3" t="n">
        <v>-700</v>
      </c>
    </row>
    <row r="12" customFormat="false" ht="12.75" hidden="false" customHeight="false" outlineLevel="0" collapsed="false">
      <c r="B12" s="0" t="s">
        <v>12</v>
      </c>
      <c r="D12" s="0" t="n">
        <v>-400</v>
      </c>
    </row>
    <row r="13" customFormat="false" ht="12.75" hidden="false" customHeight="false" outlineLevel="0" collapsed="false">
      <c r="B13" s="0" t="s">
        <v>13</v>
      </c>
      <c r="D13" s="4" t="n">
        <v>-2000</v>
      </c>
    </row>
    <row r="14" customFormat="false" ht="12.75" hidden="false" customHeight="false" outlineLevel="0" collapsed="false">
      <c r="B14" s="0" t="s">
        <v>14</v>
      </c>
      <c r="D14" s="2" t="n">
        <f aca="false">SUM(D9:D13)</f>
        <v>-11395.9942874538</v>
      </c>
    </row>
    <row r="16" customFormat="false" ht="12.75" hidden="false" customHeight="false" outlineLevel="0" collapsed="false">
      <c r="B16" s="0" t="s">
        <v>15</v>
      </c>
      <c r="D16" s="0" t="n">
        <f aca="false">(750*6+12*500+12*650)*0.75+1000</f>
        <v>14725</v>
      </c>
    </row>
    <row r="18" customFormat="false" ht="12.75" hidden="false" customHeight="false" outlineLevel="0" collapsed="false">
      <c r="B18" s="0" t="s">
        <v>16</v>
      </c>
      <c r="D18" s="2" t="n">
        <f aca="false">D16+D14</f>
        <v>3329.00571254617</v>
      </c>
    </row>
    <row r="20" customFormat="false" ht="12.75" hidden="false" customHeight="false" outlineLevel="0" collapsed="false">
      <c r="B20" s="0" t="s">
        <v>17</v>
      </c>
      <c r="D20" s="3" t="n">
        <f aca="false">D18*12</f>
        <v>39948.068550554</v>
      </c>
    </row>
    <row r="22" customFormat="false" ht="12.75" hidden="false" customHeight="false" outlineLevel="0" collapsed="false">
      <c r="B22" s="0" t="s">
        <v>18</v>
      </c>
      <c r="D22" s="5" t="n">
        <f aca="false">D20/D6</f>
        <v>0.147955809446496</v>
      </c>
    </row>
    <row r="24" customFormat="false" ht="12.75" hidden="false" customHeight="false" outlineLevel="0" collapsed="false">
      <c r="D24" s="0" t="n">
        <v>1999</v>
      </c>
      <c r="E24" s="0" t="n">
        <v>2000</v>
      </c>
      <c r="F24" s="0" t="n">
        <v>2001</v>
      </c>
      <c r="G24" s="0" t="n">
        <v>2002</v>
      </c>
      <c r="H24" s="0" t="n">
        <v>2003</v>
      </c>
      <c r="I24" s="0" t="n">
        <v>2004</v>
      </c>
      <c r="J24" s="0" t="n">
        <v>2005</v>
      </c>
      <c r="K24" s="0" t="n">
        <v>2006</v>
      </c>
      <c r="L24" s="0" t="n">
        <v>2007</v>
      </c>
      <c r="M24" s="0" t="n">
        <v>2008</v>
      </c>
      <c r="N24" s="0" t="n">
        <v>2009</v>
      </c>
      <c r="O24" s="0" t="n">
        <v>2010</v>
      </c>
      <c r="P24" s="0" t="n">
        <v>2011</v>
      </c>
      <c r="Q24" s="0" t="n">
        <v>2012</v>
      </c>
      <c r="R24" s="0" t="n">
        <v>2013</v>
      </c>
      <c r="S24" s="0" t="n">
        <v>2014</v>
      </c>
    </row>
    <row r="26" customFormat="false" ht="12.75" hidden="false" customHeight="false" outlineLevel="0" collapsed="false">
      <c r="C26" s="0" t="s">
        <v>15</v>
      </c>
      <c r="D26" s="9" t="n">
        <f aca="false">D16*12</f>
        <v>176700</v>
      </c>
      <c r="E26" s="9" t="n">
        <f aca="false">D26*1.02</f>
        <v>180234</v>
      </c>
      <c r="F26" s="9" t="n">
        <f aca="false">E26*1.02</f>
        <v>183838.68</v>
      </c>
      <c r="G26" s="9" t="n">
        <f aca="false">F26*1.02</f>
        <v>187515.4536</v>
      </c>
      <c r="H26" s="9" t="n">
        <f aca="false">G26*1.02</f>
        <v>191265.762672</v>
      </c>
      <c r="I26" s="9" t="n">
        <f aca="false">H26*1.02</f>
        <v>195091.07792544</v>
      </c>
      <c r="J26" s="9" t="n">
        <f aca="false">I26*1.02</f>
        <v>198992.899483949</v>
      </c>
      <c r="K26" s="9" t="n">
        <f aca="false">J26*1.02</f>
        <v>202972.757473628</v>
      </c>
      <c r="L26" s="9" t="n">
        <f aca="false">K26*1.02</f>
        <v>207032.2126231</v>
      </c>
      <c r="M26" s="9" t="n">
        <f aca="false">L26*1.02</f>
        <v>211172.856875562</v>
      </c>
      <c r="N26" s="9" t="n">
        <f aca="false">M26*1.02</f>
        <v>215396.314013074</v>
      </c>
      <c r="O26" s="9" t="n">
        <f aca="false">N26*1.02</f>
        <v>219704.240293335</v>
      </c>
      <c r="P26" s="9" t="n">
        <f aca="false">O26*1.02</f>
        <v>224098.325099202</v>
      </c>
      <c r="Q26" s="9" t="n">
        <f aca="false">P26*1.02</f>
        <v>228580.291601186</v>
      </c>
      <c r="R26" s="9" t="n">
        <f aca="false">Q26*1.02</f>
        <v>233151.89743321</v>
      </c>
      <c r="S26" s="9" t="n">
        <f aca="false">R26*1.02</f>
        <v>237814.935381874</v>
      </c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8" customFormat="false" ht="12.75" hidden="false" customHeight="false" outlineLevel="0" collapsed="false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customFormat="false" ht="12.75" hidden="false" customHeight="false" outlineLevel="0" collapsed="false">
      <c r="C29" s="0" t="s">
        <v>10</v>
      </c>
      <c r="D29" s="2" t="n">
        <f aca="false">D10*12</f>
        <v>-22500</v>
      </c>
      <c r="E29" s="2" t="n">
        <f aca="false">D29*1.02</f>
        <v>-22950</v>
      </c>
      <c r="F29" s="2" t="n">
        <f aca="false">E29*1.02</f>
        <v>-23409</v>
      </c>
      <c r="G29" s="2" t="n">
        <f aca="false">F29*1.02</f>
        <v>-23877.18</v>
      </c>
      <c r="H29" s="2" t="n">
        <f aca="false">G29*1.02</f>
        <v>-24354.7236</v>
      </c>
      <c r="I29" s="2" t="n">
        <f aca="false">H29*1.02</f>
        <v>-24841.818072</v>
      </c>
      <c r="J29" s="2" t="n">
        <f aca="false">I29*1.02</f>
        <v>-25338.65443344</v>
      </c>
      <c r="K29" s="2" t="n">
        <f aca="false">J29*1.02</f>
        <v>-25845.4275221088</v>
      </c>
      <c r="L29" s="2" t="n">
        <f aca="false">K29*1.02</f>
        <v>-26362.336072551</v>
      </c>
      <c r="M29" s="2" t="n">
        <f aca="false">L29*1.02</f>
        <v>-26889.582794002</v>
      </c>
      <c r="N29" s="2" t="n">
        <f aca="false">M29*1.02</f>
        <v>-27427.374449882</v>
      </c>
      <c r="O29" s="2" t="n">
        <f aca="false">N29*1.02</f>
        <v>-27975.9219388797</v>
      </c>
      <c r="P29" s="2" t="n">
        <f aca="false">O29*1.02</f>
        <v>-28535.4403776573</v>
      </c>
      <c r="Q29" s="2" t="n">
        <f aca="false">P29*1.02</f>
        <v>-29106.1491852104</v>
      </c>
      <c r="R29" s="2" t="n">
        <f aca="false">Q29*1.02</f>
        <v>-29688.2721689146</v>
      </c>
      <c r="S29" s="2" t="n">
        <f aca="false">R29*1.02</f>
        <v>-30282.0376122929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customFormat="false" ht="12.75" hidden="false" customHeight="false" outlineLevel="0" collapsed="false">
      <c r="C30" s="0" t="s">
        <v>11</v>
      </c>
      <c r="D30" s="2" t="n">
        <f aca="false">D11*12</f>
        <v>-8400</v>
      </c>
      <c r="E30" s="2" t="n">
        <f aca="false">D30*1.02</f>
        <v>-8568</v>
      </c>
      <c r="F30" s="2" t="n">
        <f aca="false">E30*1.02</f>
        <v>-8739.36</v>
      </c>
      <c r="G30" s="2" t="n">
        <f aca="false">F30*1.02</f>
        <v>-8914.1472</v>
      </c>
      <c r="H30" s="2" t="n">
        <f aca="false">G30*1.02</f>
        <v>-9092.430144</v>
      </c>
      <c r="I30" s="2" t="n">
        <f aca="false">H30*1.02</f>
        <v>-9274.27874688</v>
      </c>
      <c r="J30" s="2" t="n">
        <f aca="false">I30*1.02</f>
        <v>-9459.7643218176</v>
      </c>
      <c r="K30" s="2" t="n">
        <f aca="false">J30*1.02</f>
        <v>-9648.95960825395</v>
      </c>
      <c r="L30" s="2" t="n">
        <f aca="false">K30*1.02</f>
        <v>-9841.93880041903</v>
      </c>
      <c r="M30" s="2" t="n">
        <f aca="false">L30*1.02</f>
        <v>-10038.7775764274</v>
      </c>
      <c r="N30" s="2" t="n">
        <f aca="false">M30*1.02</f>
        <v>-10239.553127956</v>
      </c>
      <c r="O30" s="2" t="n">
        <f aca="false">N30*1.02</f>
        <v>-10444.3441905151</v>
      </c>
      <c r="P30" s="2" t="n">
        <f aca="false">O30*1.02</f>
        <v>-10653.2310743254</v>
      </c>
      <c r="Q30" s="2" t="n">
        <f aca="false">P30*1.02</f>
        <v>-10866.2956958119</v>
      </c>
      <c r="R30" s="2" t="n">
        <f aca="false">Q30*1.02</f>
        <v>-11083.6216097281</v>
      </c>
      <c r="S30" s="2" t="n">
        <f aca="false">R30*1.02</f>
        <v>-11305.2940419227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customFormat="false" ht="12.75" hidden="false" customHeight="false" outlineLevel="0" collapsed="false">
      <c r="C31" s="0" t="s">
        <v>12</v>
      </c>
      <c r="D31" s="2" t="n">
        <f aca="false">D12*12</f>
        <v>-4800</v>
      </c>
      <c r="E31" s="2" t="n">
        <f aca="false">D31*1.02</f>
        <v>-4896</v>
      </c>
      <c r="F31" s="2" t="n">
        <f aca="false">E31*1.02</f>
        <v>-4993.92</v>
      </c>
      <c r="G31" s="2" t="n">
        <f aca="false">F31*1.02</f>
        <v>-5093.7984</v>
      </c>
      <c r="H31" s="2" t="n">
        <f aca="false">G31*1.02</f>
        <v>-5195.674368</v>
      </c>
      <c r="I31" s="2" t="n">
        <f aca="false">H31*1.02</f>
        <v>-5299.58785536</v>
      </c>
      <c r="J31" s="2" t="n">
        <f aca="false">I31*1.02</f>
        <v>-5405.5796124672</v>
      </c>
      <c r="K31" s="2" t="n">
        <f aca="false">J31*1.02</f>
        <v>-5513.69120471655</v>
      </c>
      <c r="L31" s="2" t="n">
        <f aca="false">K31*1.02</f>
        <v>-5623.96502881088</v>
      </c>
      <c r="M31" s="2" t="n">
        <f aca="false">L31*1.02</f>
        <v>-5736.44432938709</v>
      </c>
      <c r="N31" s="2" t="n">
        <f aca="false">M31*1.02</f>
        <v>-5851.17321597484</v>
      </c>
      <c r="O31" s="2" t="n">
        <f aca="false">N31*1.02</f>
        <v>-5968.19668029433</v>
      </c>
      <c r="P31" s="2" t="n">
        <f aca="false">O31*1.02</f>
        <v>-6087.56061390022</v>
      </c>
      <c r="Q31" s="2" t="n">
        <f aca="false">P31*1.02</f>
        <v>-6209.31182617823</v>
      </c>
      <c r="R31" s="2" t="n">
        <f aca="false">Q31*1.02</f>
        <v>-6333.49806270179</v>
      </c>
      <c r="S31" s="2" t="n">
        <f aca="false">R31*1.02</f>
        <v>-6460.16802395583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customFormat="false" ht="12.75" hidden="false" customHeight="false" outlineLevel="0" collapsed="false">
      <c r="C32" s="0" t="s">
        <v>13</v>
      </c>
      <c r="D32" s="2" t="n">
        <f aca="false">D13*12</f>
        <v>-24000</v>
      </c>
      <c r="E32" s="2" t="n">
        <f aca="false">D32*1.02</f>
        <v>-24480</v>
      </c>
      <c r="F32" s="2" t="n">
        <f aca="false">E32*1.02</f>
        <v>-24969.6</v>
      </c>
      <c r="G32" s="2" t="n">
        <f aca="false">F32*1.02</f>
        <v>-25468.992</v>
      </c>
      <c r="H32" s="2" t="n">
        <f aca="false">G32*1.02</f>
        <v>-25978.37184</v>
      </c>
      <c r="I32" s="2" t="n">
        <f aca="false">H32*1.02</f>
        <v>-26497.9392768</v>
      </c>
      <c r="J32" s="2" t="n">
        <f aca="false">I32*1.02</f>
        <v>-27027.898062336</v>
      </c>
      <c r="K32" s="2" t="n">
        <f aca="false">J32*1.02</f>
        <v>-27568.4560235827</v>
      </c>
      <c r="L32" s="2" t="n">
        <f aca="false">K32*1.02</f>
        <v>-28119.8251440544</v>
      </c>
      <c r="M32" s="2" t="n">
        <f aca="false">L32*1.02</f>
        <v>-28682.2216469355</v>
      </c>
      <c r="N32" s="2" t="n">
        <f aca="false">M32*1.02</f>
        <v>-29255.8660798742</v>
      </c>
      <c r="O32" s="2" t="n">
        <f aca="false">N32*1.02</f>
        <v>-29840.9834014717</v>
      </c>
      <c r="P32" s="2" t="n">
        <f aca="false">O32*1.02</f>
        <v>-30437.8030695011</v>
      </c>
      <c r="Q32" s="2" t="n">
        <f aca="false">P32*1.02</f>
        <v>-31046.5591308911</v>
      </c>
      <c r="R32" s="2" t="n">
        <f aca="false">Q32*1.02</f>
        <v>-31667.4903135089</v>
      </c>
      <c r="S32" s="2" t="n">
        <f aca="false">R32*1.02</f>
        <v>-32300.8401197791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4" customFormat="false" ht="12.75" hidden="false" customHeight="false" outlineLevel="0" collapsed="false">
      <c r="C34" s="0" t="s">
        <v>24</v>
      </c>
      <c r="D34" s="10" t="n">
        <f aca="false">SUM(D26:D33)</f>
        <v>117000</v>
      </c>
      <c r="E34" s="10" t="n">
        <f aca="false">SUM(E26:E33)</f>
        <v>119340</v>
      </c>
      <c r="F34" s="10" t="n">
        <f aca="false">SUM(F26:F33)</f>
        <v>121726.8</v>
      </c>
      <c r="G34" s="10" t="n">
        <f aca="false">SUM(G26:G33)</f>
        <v>124161.336</v>
      </c>
      <c r="H34" s="10" t="n">
        <f aca="false">SUM(H26:H33)</f>
        <v>126644.56272</v>
      </c>
      <c r="I34" s="10" t="n">
        <f aca="false">SUM(I26:I33)</f>
        <v>129177.4539744</v>
      </c>
      <c r="J34" s="10" t="n">
        <f aca="false">SUM(J26:J33)</f>
        <v>131761.003053888</v>
      </c>
      <c r="K34" s="10" t="n">
        <f aca="false">SUM(K26:K33)</f>
        <v>134396.223114966</v>
      </c>
      <c r="L34" s="10" t="n">
        <f aca="false">SUM(L26:L33)</f>
        <v>137084.147577265</v>
      </c>
      <c r="M34" s="10" t="n">
        <f aca="false">SUM(M26:M33)</f>
        <v>139825.83052881</v>
      </c>
      <c r="N34" s="10" t="n">
        <f aca="false">SUM(N26:N33)</f>
        <v>142622.347139387</v>
      </c>
      <c r="O34" s="10" t="n">
        <f aca="false">SUM(O26:O33)</f>
        <v>145474.794082174</v>
      </c>
      <c r="P34" s="10" t="n">
        <f aca="false">SUM(P26:P33)</f>
        <v>148384.289963818</v>
      </c>
      <c r="Q34" s="10" t="n">
        <f aca="false">SUM(Q26:Q33)</f>
        <v>151351.975763094</v>
      </c>
      <c r="R34" s="10" t="n">
        <f aca="false">SUM(R26:R33)</f>
        <v>154379.015278356</v>
      </c>
      <c r="S34" s="10" t="n">
        <f aca="false">SUM(S26:S33)</f>
        <v>157466.595583923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</row>
    <row r="35" customFormat="false" ht="12.75" hidden="false" customHeight="false" outlineLevel="0" collapsed="false">
      <c r="C35" s="0" t="s">
        <v>25</v>
      </c>
      <c r="D35" s="0" t="n">
        <v>-350000</v>
      </c>
      <c r="I35" s="2" t="n">
        <v>-40000</v>
      </c>
      <c r="N35" s="2" t="n">
        <v>-40000</v>
      </c>
      <c r="S35" s="0" t="n">
        <v>950000</v>
      </c>
    </row>
    <row r="37" customFormat="false" ht="12.75" hidden="false" customHeight="false" outlineLevel="0" collapsed="false">
      <c r="A37" s="2" t="n">
        <f aca="false">NPV(0.085,D37:S37)</f>
        <v>1024254.18897551</v>
      </c>
      <c r="C37" s="0" t="s">
        <v>26</v>
      </c>
      <c r="D37" s="10" t="n">
        <f aca="false">D35+D34</f>
        <v>-233000</v>
      </c>
      <c r="E37" s="10" t="n">
        <f aca="false">E35+E34</f>
        <v>119340</v>
      </c>
      <c r="F37" s="10" t="n">
        <f aca="false">F35+F34</f>
        <v>121726.8</v>
      </c>
      <c r="G37" s="10" t="n">
        <f aca="false">G35+G34</f>
        <v>124161.336</v>
      </c>
      <c r="H37" s="10" t="n">
        <f aca="false">H35+H34</f>
        <v>126644.56272</v>
      </c>
      <c r="I37" s="10" t="n">
        <f aca="false">I35+I34</f>
        <v>89177.4539744</v>
      </c>
      <c r="J37" s="10" t="n">
        <f aca="false">J35+J34</f>
        <v>131761.003053888</v>
      </c>
      <c r="K37" s="10" t="n">
        <f aca="false">K35+K34</f>
        <v>134396.223114966</v>
      </c>
      <c r="L37" s="10" t="n">
        <f aca="false">L35+L34</f>
        <v>137084.147577265</v>
      </c>
      <c r="M37" s="10" t="n">
        <f aca="false">M35+M34</f>
        <v>139825.83052881</v>
      </c>
      <c r="N37" s="10" t="n">
        <f aca="false">N35+N34</f>
        <v>102622.347139387</v>
      </c>
      <c r="O37" s="10" t="n">
        <f aca="false">O35+O34</f>
        <v>145474.794082174</v>
      </c>
      <c r="P37" s="10" t="n">
        <f aca="false">P35+P34</f>
        <v>148384.289963818</v>
      </c>
      <c r="Q37" s="10" t="n">
        <f aca="false">Q35+Q34</f>
        <v>151351.975763094</v>
      </c>
      <c r="R37" s="10" t="n">
        <f aca="false">R35+R34</f>
        <v>154379.015278356</v>
      </c>
      <c r="S37" s="10" t="n">
        <f aca="false">S35+S34</f>
        <v>1107466.59558392</v>
      </c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customFormat="false" ht="12.75" hidden="false" customHeight="false" outlineLevel="0" collapsed="false">
      <c r="U38" s="11"/>
    </row>
    <row r="39" customFormat="false" ht="12.75" hidden="false" customHeight="false" outlineLevel="0" collapsed="false">
      <c r="C39" s="0" t="s">
        <v>27</v>
      </c>
      <c r="D39" s="12" t="n">
        <f aca="false">IRR(D37:S37,0.15)</f>
        <v>0.522838700478512</v>
      </c>
    </row>
    <row r="41" customFormat="false" ht="12.75" hidden="false" customHeight="false" outlineLevel="0" collapsed="false">
      <c r="C41" s="0" t="s">
        <v>28</v>
      </c>
      <c r="D41" s="0" t="n">
        <f aca="false">(D3-D6+D7)*D4</f>
        <v>55424.25</v>
      </c>
      <c r="E41" s="0" t="n">
        <f aca="false">+D45*$D$4</f>
        <v>60135.31125</v>
      </c>
      <c r="F41" s="0" t="n">
        <f aca="false">+E45*$D$4</f>
        <v>65246.81270625</v>
      </c>
      <c r="G41" s="0" t="n">
        <f aca="false">+F45*$D$4</f>
        <v>70792.7917862813</v>
      </c>
      <c r="H41" s="0" t="n">
        <f aca="false">+G45*$D$4</f>
        <v>76810.1790881152</v>
      </c>
      <c r="I41" s="0" t="n">
        <f aca="false">+H45*$D$4</f>
        <v>83339.044310605</v>
      </c>
      <c r="J41" s="0" t="n">
        <f aca="false">+I45*$D$4</f>
        <v>90422.8630770064</v>
      </c>
      <c r="K41" s="0" t="n">
        <f aca="false">+J45*$D$4</f>
        <v>98108.8064385519</v>
      </c>
      <c r="L41" s="0" t="n">
        <f aca="false">+K45*$D$4</f>
        <v>106448.054985829</v>
      </c>
      <c r="M41" s="0" t="n">
        <f aca="false">+L45*$D$4</f>
        <v>115496.139659624</v>
      </c>
      <c r="N41" s="0" t="n">
        <f aca="false">+M45*$D$4</f>
        <v>125313.311530692</v>
      </c>
      <c r="O41" s="0" t="n">
        <f aca="false">+N45*$D$4</f>
        <v>135964.943010801</v>
      </c>
      <c r="P41" s="0" t="n">
        <f aca="false">+O45*$D$4</f>
        <v>147521.963166719</v>
      </c>
      <c r="Q41" s="0" t="n">
        <f aca="false">+P45*$D$4</f>
        <v>160061.33003589</v>
      </c>
      <c r="R41" s="0" t="n">
        <f aca="false">+Q45*$D$4</f>
        <v>173666.543088941</v>
      </c>
      <c r="S41" s="0" t="n">
        <f aca="false">+R45*$D$4</f>
        <v>188428.199251501</v>
      </c>
    </row>
    <row r="42" customFormat="false" ht="12.75" hidden="false" customHeight="false" outlineLevel="0" collapsed="false">
      <c r="C42" s="0" t="s">
        <v>29</v>
      </c>
      <c r="D42" s="2" t="n">
        <f aca="false">-D28</f>
        <v>-0</v>
      </c>
      <c r="E42" s="2" t="n">
        <f aca="false">-E28</f>
        <v>-0</v>
      </c>
      <c r="F42" s="2" t="n">
        <f aca="false">-F28</f>
        <v>-0</v>
      </c>
      <c r="G42" s="2" t="n">
        <f aca="false">-G28</f>
        <v>-0</v>
      </c>
      <c r="H42" s="2" t="n">
        <f aca="false">-H28</f>
        <v>-0</v>
      </c>
      <c r="I42" s="2" t="n">
        <f aca="false">-I28</f>
        <v>-0</v>
      </c>
      <c r="J42" s="2" t="n">
        <f aca="false">-J28</f>
        <v>-0</v>
      </c>
      <c r="K42" s="2" t="n">
        <f aca="false">-K28</f>
        <v>-0</v>
      </c>
      <c r="L42" s="2" t="n">
        <f aca="false">-L28</f>
        <v>-0</v>
      </c>
      <c r="M42" s="2" t="n">
        <f aca="false">-M28</f>
        <v>-0</v>
      </c>
      <c r="N42" s="2" t="n">
        <f aca="false">-N28</f>
        <v>-0</v>
      </c>
      <c r="O42" s="2" t="n">
        <f aca="false">-O28</f>
        <v>-0</v>
      </c>
      <c r="P42" s="2" t="n">
        <f aca="false">-P28</f>
        <v>-0</v>
      </c>
      <c r="Q42" s="2" t="n">
        <f aca="false">-Q28</f>
        <v>-0</v>
      </c>
      <c r="R42" s="2" t="n">
        <f aca="false">-R28</f>
        <v>-0</v>
      </c>
      <c r="S42" s="2" t="n">
        <f aca="false">-S28</f>
        <v>-0</v>
      </c>
    </row>
    <row r="43" customFormat="false" ht="12.75" hidden="false" customHeight="false" outlineLevel="0" collapsed="false">
      <c r="C43" s="0" t="s">
        <v>30</v>
      </c>
      <c r="D43" s="2" t="n">
        <f aca="false">+D42-D41</f>
        <v>-55424.25</v>
      </c>
      <c r="E43" s="2" t="n">
        <f aca="false">+E42-E41</f>
        <v>-60135.31125</v>
      </c>
      <c r="F43" s="2" t="n">
        <f aca="false">+F42-F41</f>
        <v>-65246.81270625</v>
      </c>
      <c r="G43" s="2" t="n">
        <f aca="false">+G42-G41</f>
        <v>-70792.7917862813</v>
      </c>
      <c r="H43" s="2" t="n">
        <f aca="false">+H42-H41</f>
        <v>-76810.1790881152</v>
      </c>
      <c r="I43" s="2" t="n">
        <f aca="false">+I42-I41</f>
        <v>-83339.044310605</v>
      </c>
      <c r="J43" s="2" t="n">
        <f aca="false">+J42-J41</f>
        <v>-90422.8630770064</v>
      </c>
      <c r="K43" s="2" t="n">
        <f aca="false">+K42-K41</f>
        <v>-98108.8064385519</v>
      </c>
      <c r="L43" s="2" t="n">
        <f aca="false">+L42-L41</f>
        <v>-106448.054985829</v>
      </c>
      <c r="M43" s="2" t="n">
        <f aca="false">+M42-M41</f>
        <v>-115496.139659624</v>
      </c>
      <c r="N43" s="2" t="n">
        <f aca="false">+N42-N41</f>
        <v>-125313.311530692</v>
      </c>
      <c r="O43" s="2" t="n">
        <f aca="false">+O42-O41</f>
        <v>-135964.943010801</v>
      </c>
      <c r="P43" s="2" t="n">
        <f aca="false">+P42-P41</f>
        <v>-147521.963166719</v>
      </c>
      <c r="Q43" s="2" t="n">
        <f aca="false">+Q42-Q41</f>
        <v>-160061.33003589</v>
      </c>
      <c r="R43" s="2" t="n">
        <f aca="false">+R42-R41</f>
        <v>-173666.543088941</v>
      </c>
      <c r="S43" s="2" t="n">
        <f aca="false">+S42-S41</f>
        <v>-188428.199251501</v>
      </c>
    </row>
    <row r="45" customFormat="false" ht="12.75" hidden="false" customHeight="false" outlineLevel="0" collapsed="false">
      <c r="C45" s="0" t="s">
        <v>31</v>
      </c>
      <c r="D45" s="2" t="n">
        <f aca="false">+(D3-D6+D7)-D43</f>
        <v>707474.25</v>
      </c>
      <c r="E45" s="2" t="n">
        <f aca="false">+D45-E43</f>
        <v>767609.56125</v>
      </c>
      <c r="F45" s="2" t="n">
        <f aca="false">+E45-F43</f>
        <v>832856.37395625</v>
      </c>
      <c r="G45" s="2" t="n">
        <f aca="false">+F45-G43</f>
        <v>903649.165742531</v>
      </c>
      <c r="H45" s="2" t="n">
        <f aca="false">+G45-H43</f>
        <v>980459.344830646</v>
      </c>
      <c r="I45" s="2" t="n">
        <f aca="false">+H45-I43</f>
        <v>1063798.38914125</v>
      </c>
      <c r="J45" s="2" t="n">
        <f aca="false">+I45-J43</f>
        <v>1154221.25221826</v>
      </c>
      <c r="K45" s="2" t="n">
        <f aca="false">+J45-K43</f>
        <v>1252330.05865681</v>
      </c>
      <c r="L45" s="2" t="n">
        <f aca="false">+K45-L43</f>
        <v>1358778.11364264</v>
      </c>
      <c r="M45" s="2" t="n">
        <f aca="false">+L45-M43</f>
        <v>1474274.25330226</v>
      </c>
      <c r="N45" s="2" t="n">
        <f aca="false">+M45-N43</f>
        <v>1599587.56483296</v>
      </c>
      <c r="O45" s="2" t="n">
        <f aca="false">+N45-O43</f>
        <v>1735552.50784376</v>
      </c>
      <c r="P45" s="2" t="n">
        <f aca="false">+O45-P43</f>
        <v>1883074.47101048</v>
      </c>
      <c r="Q45" s="2" t="n">
        <f aca="false">+P45-Q43</f>
        <v>2043135.80104637</v>
      </c>
      <c r="R45" s="2" t="n">
        <f aca="false">+Q45-R43</f>
        <v>2216802.34413531</v>
      </c>
      <c r="S45" s="2" t="n">
        <f aca="false">+R45-S43</f>
        <v>2405230.54338681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60"/>
  <sheetViews>
    <sheetView showFormulas="false" showGridLines="true" showRowColHeaders="true" showZeros="true" rightToLeft="false" tabSelected="true" showOutlineSymbols="true" defaultGridColor="true" view="normal" topLeftCell="A23" colorId="64" zoomScale="100" zoomScaleNormal="100" zoomScalePageLayoutView="100" workbookViewId="0">
      <selection pane="topLeft" activeCell="A53" activeCellId="0" sqref="A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3" min="3" style="0" width="10.71"/>
    <col collapsed="false" customWidth="true" hidden="false" outlineLevel="0" max="4" min="4" style="0" width="13.28"/>
    <col collapsed="false" customWidth="true" hidden="false" outlineLevel="0" max="18" min="5" style="0" width="11.99"/>
    <col collapsed="false" customWidth="true" hidden="false" outlineLevel="0" max="19" min="19" style="0" width="14.7"/>
    <col collapsed="false" customWidth="true" hidden="false" outlineLevel="0" max="34" min="20" style="0" width="11.99"/>
  </cols>
  <sheetData>
    <row r="1" customFormat="false" ht="12.75" hidden="false" customHeight="false" outlineLevel="0" collapsed="false">
      <c r="B1" s="13" t="s">
        <v>32</v>
      </c>
    </row>
    <row r="2" customFormat="false" ht="12.75" hidden="false" customHeight="false" outlineLevel="0" collapsed="false">
      <c r="F2" s="0" t="n">
        <f aca="false">3100*25</f>
        <v>77500</v>
      </c>
    </row>
    <row r="3" customFormat="false" ht="12.75" hidden="false" customHeight="false" outlineLevel="0" collapsed="false">
      <c r="B3" s="0" t="s">
        <v>5</v>
      </c>
      <c r="D3" s="7" t="n">
        <v>2800000</v>
      </c>
    </row>
    <row r="4" customFormat="false" ht="12.75" hidden="false" customHeight="false" outlineLevel="0" collapsed="false">
      <c r="B4" s="0" t="s">
        <v>6</v>
      </c>
      <c r="D4" s="1" t="n">
        <v>0.08</v>
      </c>
    </row>
    <row r="5" customFormat="false" ht="12.75" hidden="false" customHeight="false" outlineLevel="0" collapsed="false">
      <c r="B5" s="0" t="s">
        <v>7</v>
      </c>
      <c r="D5" s="0" t="n">
        <v>30</v>
      </c>
    </row>
    <row r="6" customFormat="false" ht="12.75" hidden="false" customHeight="false" outlineLevel="0" collapsed="false">
      <c r="B6" s="0" t="s">
        <v>8</v>
      </c>
      <c r="D6" s="8" t="n">
        <f aca="false">D3*D8</f>
        <v>560000</v>
      </c>
      <c r="H6" s="0" t="s">
        <v>33</v>
      </c>
      <c r="I6" s="7" t="n">
        <f aca="false">D21*12</f>
        <v>390600</v>
      </c>
    </row>
    <row r="7" customFormat="false" ht="12.75" hidden="false" customHeight="false" outlineLevel="0" collapsed="false">
      <c r="B7" s="0" t="s">
        <v>34</v>
      </c>
      <c r="D7" s="8" t="n">
        <f aca="false">D3*0.03</f>
        <v>84000</v>
      </c>
      <c r="H7" s="0" t="s">
        <v>35</v>
      </c>
      <c r="I7" s="14" t="n">
        <f aca="false">E19</f>
        <v>-127930</v>
      </c>
    </row>
    <row r="8" customFormat="false" ht="12.75" hidden="false" customHeight="false" outlineLevel="0" collapsed="false">
      <c r="B8" s="0" t="s">
        <v>36</v>
      </c>
      <c r="D8" s="5" t="n">
        <v>0.2</v>
      </c>
      <c r="I8" s="14"/>
    </row>
    <row r="9" customFormat="false" ht="12.75" hidden="false" customHeight="false" outlineLevel="0" collapsed="false">
      <c r="H9" s="0" t="s">
        <v>37</v>
      </c>
      <c r="I9" s="7" t="n">
        <f aca="false">SUM(I6:I8)</f>
        <v>262670</v>
      </c>
    </row>
    <row r="10" customFormat="false" ht="12.75" hidden="false" customHeight="false" outlineLevel="0" collapsed="false">
      <c r="I10" s="7"/>
    </row>
    <row r="11" customFormat="false" ht="12.75" hidden="false" customHeight="false" outlineLevel="0" collapsed="false">
      <c r="D11" s="0" t="s">
        <v>38</v>
      </c>
      <c r="E11" s="0" t="s">
        <v>39</v>
      </c>
      <c r="I11" s="7"/>
    </row>
    <row r="12" customFormat="false" ht="12.75" hidden="false" customHeight="false" outlineLevel="0" collapsed="false">
      <c r="B12" s="0" t="s">
        <v>9</v>
      </c>
      <c r="D12" s="2" t="n">
        <f aca="false">PMT(D4/12,D5*12,D3*(1-D8))</f>
        <v>-16436.326454898</v>
      </c>
      <c r="E12" s="2" t="n">
        <f aca="false">D12*12</f>
        <v>-197235.917458776</v>
      </c>
    </row>
    <row r="13" customFormat="false" ht="12.75" hidden="false" customHeight="false" outlineLevel="0" collapsed="false">
      <c r="D13" s="2"/>
      <c r="E13" s="2"/>
    </row>
    <row r="14" customFormat="false" ht="12.75" hidden="false" customHeight="false" outlineLevel="0" collapsed="false">
      <c r="B14" s="0" t="s">
        <v>10</v>
      </c>
      <c r="D14" s="3" t="n">
        <f aca="false">-D3*0.025/12</f>
        <v>-5833.33333333333</v>
      </c>
      <c r="E14" s="2" t="n">
        <f aca="false">D14*12</f>
        <v>-70000</v>
      </c>
      <c r="F14" s="0" t="s">
        <v>40</v>
      </c>
      <c r="H14" s="0" t="s">
        <v>41</v>
      </c>
      <c r="I14" s="8" t="n">
        <f aca="false">D3</f>
        <v>2800000</v>
      </c>
    </row>
    <row r="15" customFormat="false" ht="12.75" hidden="false" customHeight="false" outlineLevel="0" collapsed="false">
      <c r="A15" s="15" t="n">
        <v>0.05</v>
      </c>
      <c r="B15" s="0" t="s">
        <v>42</v>
      </c>
      <c r="D15" s="3" t="n">
        <f aca="false">D21*-A15</f>
        <v>-1627.5</v>
      </c>
      <c r="E15" s="2" t="n">
        <f aca="false">D15*12</f>
        <v>-19530</v>
      </c>
      <c r="F15" s="0" t="s">
        <v>40</v>
      </c>
    </row>
    <row r="16" customFormat="false" ht="12.75" hidden="false" customHeight="false" outlineLevel="0" collapsed="false">
      <c r="B16" s="0" t="s">
        <v>43</v>
      </c>
      <c r="D16" s="3" t="n">
        <v>-1000</v>
      </c>
      <c r="E16" s="2" t="n">
        <f aca="false">D16*12</f>
        <v>-12000</v>
      </c>
      <c r="F16" s="0" t="s">
        <v>40</v>
      </c>
      <c r="H16" s="0" t="s">
        <v>44</v>
      </c>
      <c r="I16" s="1" t="n">
        <f aca="false">I9/I14</f>
        <v>0.0938107142857143</v>
      </c>
    </row>
    <row r="17" customFormat="false" ht="12.75" hidden="false" customHeight="false" outlineLevel="0" collapsed="false">
      <c r="B17" s="0" t="s">
        <v>12</v>
      </c>
      <c r="D17" s="0" t="n">
        <v>-1000</v>
      </c>
      <c r="E17" s="2" t="n">
        <f aca="false">D17*12</f>
        <v>-12000</v>
      </c>
      <c r="F17" s="0" t="s">
        <v>40</v>
      </c>
    </row>
    <row r="18" customFormat="false" ht="12.75" hidden="false" customHeight="false" outlineLevel="0" collapsed="false">
      <c r="B18" s="0" t="s">
        <v>13</v>
      </c>
      <c r="D18" s="4" t="n">
        <v>-1200</v>
      </c>
      <c r="E18" s="2" t="n">
        <f aca="false">D18*12</f>
        <v>-14400</v>
      </c>
      <c r="F18" s="0" t="s">
        <v>40</v>
      </c>
    </row>
    <row r="19" customFormat="false" ht="12.75" hidden="false" customHeight="false" outlineLevel="0" collapsed="false">
      <c r="B19" s="0" t="s">
        <v>45</v>
      </c>
      <c r="D19" s="2" t="n">
        <f aca="false">SUM(D14:D18)</f>
        <v>-10660.8333333333</v>
      </c>
      <c r="E19" s="2" t="n">
        <f aca="false">D19*12</f>
        <v>-127930</v>
      </c>
    </row>
    <row r="20" customFormat="false" ht="12.75" hidden="false" customHeight="false" outlineLevel="0" collapsed="false">
      <c r="E20" s="2"/>
    </row>
    <row r="21" customFormat="false" ht="12.75" hidden="false" customHeight="false" outlineLevel="0" collapsed="false">
      <c r="B21" s="0" t="s">
        <v>15</v>
      </c>
      <c r="D21" s="3" t="n">
        <f aca="false">28*1250*0.93</f>
        <v>32550</v>
      </c>
      <c r="E21" s="2" t="n">
        <f aca="false">D21*12</f>
        <v>390600</v>
      </c>
    </row>
    <row r="22" customFormat="false" ht="12.75" hidden="false" customHeight="false" outlineLevel="0" collapsed="false">
      <c r="E22" s="2"/>
    </row>
    <row r="23" customFormat="false" ht="12.75" hidden="false" customHeight="false" outlineLevel="0" collapsed="false">
      <c r="B23" s="0" t="s">
        <v>16</v>
      </c>
      <c r="D23" s="14" t="n">
        <f aca="false">D21+D19+D12</f>
        <v>5452.84021176864</v>
      </c>
      <c r="E23" s="2" t="n">
        <f aca="false">D23*12</f>
        <v>65434.0825412237</v>
      </c>
    </row>
    <row r="25" customFormat="false" ht="12.75" hidden="false" customHeight="false" outlineLevel="0" collapsed="false">
      <c r="B25" s="0" t="s">
        <v>17</v>
      </c>
      <c r="D25" s="3" t="n">
        <f aca="false">D23*12</f>
        <v>65434.0825412237</v>
      </c>
    </row>
    <row r="27" customFormat="false" ht="12.75" hidden="false" customHeight="false" outlineLevel="0" collapsed="false">
      <c r="B27" s="0" t="s">
        <v>18</v>
      </c>
      <c r="D27" s="5" t="n">
        <f aca="false">D25/(D6+D7)</f>
        <v>0.101605718231714</v>
      </c>
    </row>
    <row r="29" customFormat="false" ht="12.75" hidden="false" customHeight="false" outlineLevel="0" collapsed="false">
      <c r="D29" s="0" t="n">
        <v>1999</v>
      </c>
      <c r="E29" s="0" t="n">
        <v>2000</v>
      </c>
      <c r="F29" s="0" t="n">
        <v>2001</v>
      </c>
      <c r="G29" s="0" t="n">
        <v>2002</v>
      </c>
      <c r="H29" s="0" t="n">
        <v>2003</v>
      </c>
      <c r="I29" s="0" t="n">
        <v>2004</v>
      </c>
      <c r="J29" s="0" t="n">
        <v>2005</v>
      </c>
      <c r="K29" s="0" t="n">
        <v>2006</v>
      </c>
      <c r="L29" s="0" t="n">
        <v>2007</v>
      </c>
      <c r="M29" s="0" t="n">
        <v>2008</v>
      </c>
      <c r="N29" s="0" t="n">
        <v>2009</v>
      </c>
      <c r="O29" s="0" t="n">
        <v>2010</v>
      </c>
      <c r="P29" s="0" t="n">
        <v>2011</v>
      </c>
      <c r="Q29" s="0" t="n">
        <v>2012</v>
      </c>
      <c r="R29" s="0" t="n">
        <v>2013</v>
      </c>
      <c r="S29" s="0" t="n">
        <v>2014</v>
      </c>
    </row>
    <row r="31" customFormat="false" ht="12.75" hidden="false" customHeight="false" outlineLevel="0" collapsed="false">
      <c r="C31" s="0" t="s">
        <v>15</v>
      </c>
      <c r="D31" s="9" t="n">
        <f aca="false">D21*12</f>
        <v>390600</v>
      </c>
      <c r="E31" s="9" t="n">
        <f aca="false">D31*1.02</f>
        <v>398412</v>
      </c>
      <c r="F31" s="9" t="n">
        <f aca="false">E31*1.02</f>
        <v>406380.24</v>
      </c>
      <c r="G31" s="9" t="n">
        <f aca="false">F31*1.02</f>
        <v>414507.8448</v>
      </c>
      <c r="H31" s="9" t="n">
        <f aca="false">G31*1.02</f>
        <v>422798.001696</v>
      </c>
      <c r="I31" s="9" t="n">
        <f aca="false">H31*1.02</f>
        <v>431253.96172992</v>
      </c>
      <c r="J31" s="9" t="n">
        <f aca="false">I31*1.02</f>
        <v>439879.040964519</v>
      </c>
      <c r="K31" s="9" t="n">
        <f aca="false">J31*1.02</f>
        <v>448676.621783809</v>
      </c>
      <c r="L31" s="9" t="n">
        <f aca="false">K31*1.02</f>
        <v>457650.154219485</v>
      </c>
      <c r="M31" s="9" t="n">
        <f aca="false">L31*1.02</f>
        <v>466803.157303875</v>
      </c>
      <c r="N31" s="9" t="n">
        <f aca="false">M31*1.02</f>
        <v>476139.220449952</v>
      </c>
      <c r="O31" s="9" t="n">
        <f aca="false">N31*1.02</f>
        <v>485662.004858951</v>
      </c>
      <c r="P31" s="9" t="n">
        <f aca="false">O31*1.02</f>
        <v>495375.24495613</v>
      </c>
      <c r="Q31" s="9" t="n">
        <f aca="false">P31*1.02</f>
        <v>505282.749855253</v>
      </c>
      <c r="R31" s="9" t="n">
        <f aca="false">Q31*1.02</f>
        <v>515388.404852358</v>
      </c>
      <c r="S31" s="9" t="n">
        <f aca="false">R31*1.02</f>
        <v>525696.172949405</v>
      </c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3" customFormat="false" ht="12.75" hidden="false" customHeight="false" outlineLevel="0" collapsed="false">
      <c r="C33" s="0" t="s">
        <v>46</v>
      </c>
      <c r="D33" s="14" t="n">
        <f aca="false">$D$12*12</f>
        <v>-197235.917458776</v>
      </c>
      <c r="E33" s="2" t="n">
        <f aca="false">D33</f>
        <v>-197235.917458776</v>
      </c>
      <c r="F33" s="2" t="n">
        <f aca="false">E33</f>
        <v>-197235.917458776</v>
      </c>
      <c r="G33" s="2" t="n">
        <f aca="false">F33</f>
        <v>-197235.917458776</v>
      </c>
      <c r="H33" s="2" t="n">
        <f aca="false">G33</f>
        <v>-197235.917458776</v>
      </c>
      <c r="I33" s="2" t="n">
        <f aca="false">H33</f>
        <v>-197235.917458776</v>
      </c>
      <c r="J33" s="2" t="n">
        <f aca="false">I33</f>
        <v>-197235.917458776</v>
      </c>
      <c r="K33" s="2" t="n">
        <f aca="false">J33</f>
        <v>-197235.917458776</v>
      </c>
      <c r="L33" s="2" t="n">
        <f aca="false">K33</f>
        <v>-197235.917458776</v>
      </c>
      <c r="M33" s="2" t="n">
        <f aca="false">L33</f>
        <v>-197235.917458776</v>
      </c>
      <c r="N33" s="2" t="n">
        <f aca="false">M33</f>
        <v>-197235.917458776</v>
      </c>
      <c r="O33" s="2" t="n">
        <f aca="false">N33</f>
        <v>-197235.917458776</v>
      </c>
      <c r="P33" s="2" t="n">
        <f aca="false">O33</f>
        <v>-197235.917458776</v>
      </c>
      <c r="Q33" s="2" t="n">
        <f aca="false">P33</f>
        <v>-197235.917458776</v>
      </c>
      <c r="R33" s="2" t="n">
        <f aca="false">Q33</f>
        <v>-197235.917458776</v>
      </c>
      <c r="S33" s="2" t="n">
        <f aca="false">R33</f>
        <v>-197235.917458776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customFormat="false" ht="12.75" hidden="false" customHeight="false" outlineLevel="0" collapsed="false">
      <c r="C34" s="0" t="s">
        <v>10</v>
      </c>
      <c r="D34" s="2" t="n">
        <f aca="false">D14*12</f>
        <v>-70000</v>
      </c>
      <c r="E34" s="2" t="n">
        <f aca="false">D34*1.02</f>
        <v>-71400</v>
      </c>
      <c r="F34" s="2" t="n">
        <f aca="false">E34*1.02</f>
        <v>-72828</v>
      </c>
      <c r="G34" s="2" t="n">
        <f aca="false">F34*1.02</f>
        <v>-74284.56</v>
      </c>
      <c r="H34" s="2" t="n">
        <f aca="false">G34*1.02</f>
        <v>-75770.2512</v>
      </c>
      <c r="I34" s="2" t="n">
        <f aca="false">H34*1.02</f>
        <v>-77285.656224</v>
      </c>
      <c r="J34" s="2" t="n">
        <f aca="false">I34*1.02</f>
        <v>-78831.36934848</v>
      </c>
      <c r="K34" s="2" t="n">
        <f aca="false">J34*1.02</f>
        <v>-80407.9967354496</v>
      </c>
      <c r="L34" s="2" t="n">
        <f aca="false">K34*1.02</f>
        <v>-82016.1566701586</v>
      </c>
      <c r="M34" s="2" t="n">
        <f aca="false">L34*1.02</f>
        <v>-83656.4798035618</v>
      </c>
      <c r="N34" s="2" t="n">
        <f aca="false">M34*1.02</f>
        <v>-85329.609399633</v>
      </c>
      <c r="O34" s="2" t="n">
        <f aca="false">N34*1.02</f>
        <v>-87036.2015876257</v>
      </c>
      <c r="P34" s="2" t="n">
        <f aca="false">O34*1.02</f>
        <v>-88776.9256193782</v>
      </c>
      <c r="Q34" s="2" t="n">
        <f aca="false">P34*1.02</f>
        <v>-90552.4641317657</v>
      </c>
      <c r="R34" s="2" t="n">
        <f aca="false">Q34*1.02</f>
        <v>-92363.5134144011</v>
      </c>
      <c r="S34" s="2" t="n">
        <f aca="false">R34*1.02</f>
        <v>-94210.7836826891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customFormat="false" ht="12.75" hidden="false" customHeight="false" outlineLevel="0" collapsed="false">
      <c r="C35" s="0" t="s">
        <v>42</v>
      </c>
      <c r="D35" s="2" t="n">
        <f aca="false">D15*12</f>
        <v>-19530</v>
      </c>
      <c r="E35" s="2" t="n">
        <f aca="false">D35*1.02</f>
        <v>-19920.6</v>
      </c>
      <c r="F35" s="2" t="n">
        <f aca="false">E35*1.02</f>
        <v>-20319.012</v>
      </c>
      <c r="G35" s="2" t="n">
        <f aca="false">F35*1.02</f>
        <v>-20725.39224</v>
      </c>
      <c r="H35" s="2" t="n">
        <f aca="false">G35*1.02</f>
        <v>-21139.9000848</v>
      </c>
      <c r="I35" s="2" t="n">
        <f aca="false">H35*1.02</f>
        <v>-21562.698086496</v>
      </c>
      <c r="J35" s="2" t="n">
        <f aca="false">I35*1.02</f>
        <v>-21993.9520482259</v>
      </c>
      <c r="K35" s="2" t="n">
        <f aca="false">J35*1.02</f>
        <v>-22433.8310891904</v>
      </c>
      <c r="L35" s="2" t="n">
        <f aca="false">K35*1.02</f>
        <v>-22882.5077109742</v>
      </c>
      <c r="M35" s="2" t="n">
        <f aca="false">L35*1.02</f>
        <v>-23340.1578651937</v>
      </c>
      <c r="N35" s="2" t="n">
        <f aca="false">M35*1.02</f>
        <v>-23806.9610224976</v>
      </c>
      <c r="O35" s="2" t="n">
        <f aca="false">N35*1.02</f>
        <v>-24283.1002429476</v>
      </c>
      <c r="P35" s="2" t="n">
        <f aca="false">O35*1.02</f>
        <v>-24768.7622478065</v>
      </c>
      <c r="Q35" s="2" t="n">
        <f aca="false">P35*1.02</f>
        <v>-25264.1374927626</v>
      </c>
      <c r="R35" s="2" t="n">
        <f aca="false">Q35*1.02</f>
        <v>-25769.4202426179</v>
      </c>
      <c r="S35" s="2" t="n">
        <f aca="false">R35*1.02</f>
        <v>-26284.8086474702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customFormat="false" ht="12.75" hidden="false" customHeight="false" outlineLevel="0" collapsed="false">
      <c r="C36" s="0" t="s">
        <v>43</v>
      </c>
      <c r="D36" s="2" t="n">
        <f aca="false">D16*12</f>
        <v>-12000</v>
      </c>
      <c r="E36" s="2" t="n">
        <f aca="false">D36*1.02</f>
        <v>-12240</v>
      </c>
      <c r="F36" s="2" t="n">
        <f aca="false">E36*1.02</f>
        <v>-12484.8</v>
      </c>
      <c r="G36" s="2" t="n">
        <f aca="false">F36*1.02</f>
        <v>-12734.496</v>
      </c>
      <c r="H36" s="2" t="n">
        <f aca="false">G36*1.02</f>
        <v>-12989.18592</v>
      </c>
      <c r="I36" s="2" t="n">
        <f aca="false">H36*1.02</f>
        <v>-13248.9696384</v>
      </c>
      <c r="J36" s="2" t="n">
        <f aca="false">I36*1.02</f>
        <v>-13513.949031168</v>
      </c>
      <c r="K36" s="2" t="n">
        <f aca="false">J36*1.02</f>
        <v>-13784.2280117914</v>
      </c>
      <c r="L36" s="2" t="n">
        <f aca="false">K36*1.02</f>
        <v>-14059.9125720272</v>
      </c>
      <c r="M36" s="2" t="n">
        <f aca="false">L36*1.02</f>
        <v>-14341.1108234677</v>
      </c>
      <c r="N36" s="2" t="n">
        <f aca="false">M36*1.02</f>
        <v>-14627.9330399371</v>
      </c>
      <c r="O36" s="2" t="n">
        <f aca="false">N36*1.02</f>
        <v>-14920.4917007358</v>
      </c>
      <c r="P36" s="2" t="n">
        <f aca="false">O36*1.02</f>
        <v>-15218.9015347505</v>
      </c>
      <c r="Q36" s="2" t="n">
        <f aca="false">P36*1.02</f>
        <v>-15523.2795654456</v>
      </c>
      <c r="R36" s="2" t="n">
        <f aca="false">Q36*1.02</f>
        <v>-15833.7451567545</v>
      </c>
      <c r="S36" s="2" t="n">
        <f aca="false">R36*1.02</f>
        <v>-16150.4200598896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customFormat="false" ht="12.75" hidden="false" customHeight="false" outlineLevel="0" collapsed="false">
      <c r="C37" s="0" t="s">
        <v>12</v>
      </c>
      <c r="D37" s="2" t="n">
        <f aca="false">D17*12</f>
        <v>-12000</v>
      </c>
      <c r="E37" s="2" t="n">
        <f aca="false">D37*1.02</f>
        <v>-12240</v>
      </c>
      <c r="F37" s="2" t="n">
        <f aca="false">E37*1.02</f>
        <v>-12484.8</v>
      </c>
      <c r="G37" s="2" t="n">
        <f aca="false">F37*1.02</f>
        <v>-12734.496</v>
      </c>
      <c r="H37" s="2" t="n">
        <f aca="false">G37*1.02</f>
        <v>-12989.18592</v>
      </c>
      <c r="I37" s="2" t="n">
        <f aca="false">H37*1.02</f>
        <v>-13248.9696384</v>
      </c>
      <c r="J37" s="2" t="n">
        <f aca="false">I37*1.02</f>
        <v>-13513.949031168</v>
      </c>
      <c r="K37" s="2" t="n">
        <f aca="false">J37*1.02</f>
        <v>-13784.2280117914</v>
      </c>
      <c r="L37" s="2" t="n">
        <f aca="false">K37*1.02</f>
        <v>-14059.9125720272</v>
      </c>
      <c r="M37" s="2" t="n">
        <f aca="false">L37*1.02</f>
        <v>-14341.1108234677</v>
      </c>
      <c r="N37" s="2" t="n">
        <f aca="false">M37*1.02</f>
        <v>-14627.9330399371</v>
      </c>
      <c r="O37" s="2" t="n">
        <f aca="false">N37*1.02</f>
        <v>-14920.4917007358</v>
      </c>
      <c r="P37" s="2" t="n">
        <f aca="false">O37*1.02</f>
        <v>-15218.9015347505</v>
      </c>
      <c r="Q37" s="2" t="n">
        <f aca="false">P37*1.02</f>
        <v>-15523.2795654456</v>
      </c>
      <c r="R37" s="2" t="n">
        <f aca="false">Q37*1.02</f>
        <v>-15833.7451567545</v>
      </c>
      <c r="S37" s="2" t="n">
        <f aca="false">R37*1.02</f>
        <v>-16150.4200598896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customFormat="false" ht="12.75" hidden="false" customHeight="false" outlineLevel="0" collapsed="false">
      <c r="C38" s="0" t="s">
        <v>13</v>
      </c>
      <c r="D38" s="2" t="n">
        <f aca="false">D18*12</f>
        <v>-14400</v>
      </c>
      <c r="E38" s="2" t="n">
        <f aca="false">D38*1.02</f>
        <v>-14688</v>
      </c>
      <c r="F38" s="2" t="n">
        <f aca="false">E38*1.02</f>
        <v>-14981.76</v>
      </c>
      <c r="G38" s="2" t="n">
        <f aca="false">F38*1.02</f>
        <v>-15281.3952</v>
      </c>
      <c r="H38" s="2" t="n">
        <f aca="false">G38*1.02</f>
        <v>-15587.023104</v>
      </c>
      <c r="I38" s="2" t="n">
        <f aca="false">H38*1.02</f>
        <v>-15898.76356608</v>
      </c>
      <c r="J38" s="2" t="n">
        <f aca="false">I38*1.02</f>
        <v>-16216.7388374016</v>
      </c>
      <c r="K38" s="2" t="n">
        <f aca="false">J38*1.02</f>
        <v>-16541.0736141496</v>
      </c>
      <c r="L38" s="2" t="n">
        <f aca="false">K38*1.02</f>
        <v>-16871.8950864326</v>
      </c>
      <c r="M38" s="2" t="n">
        <f aca="false">L38*1.02</f>
        <v>-17209.3329881613</v>
      </c>
      <c r="N38" s="2" t="n">
        <f aca="false">M38*1.02</f>
        <v>-17553.5196479245</v>
      </c>
      <c r="O38" s="2" t="n">
        <f aca="false">N38*1.02</f>
        <v>-17904.590040883</v>
      </c>
      <c r="P38" s="2" t="n">
        <f aca="false">O38*1.02</f>
        <v>-18262.6818417007</v>
      </c>
      <c r="Q38" s="2" t="n">
        <f aca="false">P38*1.02</f>
        <v>-18627.9354785347</v>
      </c>
      <c r="R38" s="2" t="n">
        <f aca="false">Q38*1.02</f>
        <v>-19000.4941881054</v>
      </c>
      <c r="S38" s="2" t="n">
        <f aca="false">R38*1.02</f>
        <v>-19380.5040718675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40" customFormat="false" ht="12.75" hidden="false" customHeight="false" outlineLevel="0" collapsed="false">
      <c r="C40" s="0" t="s">
        <v>24</v>
      </c>
      <c r="D40" s="10" t="n">
        <f aca="false">SUM(D31:D39)</f>
        <v>65434.0825412237</v>
      </c>
      <c r="E40" s="10" t="n">
        <f aca="false">SUM(E31:E39)</f>
        <v>70687.4825412237</v>
      </c>
      <c r="F40" s="10" t="n">
        <f aca="false">SUM(F31:F39)</f>
        <v>76045.9505412237</v>
      </c>
      <c r="G40" s="10" t="n">
        <f aca="false">SUM(G31:G39)</f>
        <v>81511.5879012237</v>
      </c>
      <c r="H40" s="10" t="n">
        <f aca="false">SUM(H31:H39)</f>
        <v>87086.5380084237</v>
      </c>
      <c r="I40" s="10" t="n">
        <f aca="false">SUM(I31:I39)</f>
        <v>92772.9871177677</v>
      </c>
      <c r="J40" s="10" t="n">
        <f aca="false">SUM(J31:J39)</f>
        <v>98573.1652092987</v>
      </c>
      <c r="K40" s="10" t="n">
        <f aca="false">SUM(K31:K39)</f>
        <v>104489.34686266</v>
      </c>
      <c r="L40" s="10" t="n">
        <f aca="false">SUM(L31:L39)</f>
        <v>110523.852149089</v>
      </c>
      <c r="M40" s="10" t="n">
        <f aca="false">SUM(M31:M39)</f>
        <v>116679.047541246</v>
      </c>
      <c r="N40" s="10" t="n">
        <f aca="false">SUM(N31:N39)</f>
        <v>122957.346841247</v>
      </c>
      <c r="O40" s="10" t="n">
        <f aca="false">SUM(O31:O39)</f>
        <v>129361.212127247</v>
      </c>
      <c r="P40" s="10" t="n">
        <f aca="false">SUM(P31:P39)</f>
        <v>135893.154718968</v>
      </c>
      <c r="Q40" s="10" t="n">
        <f aca="false">SUM(Q31:Q39)</f>
        <v>142555.736162523</v>
      </c>
      <c r="R40" s="10" t="n">
        <f aca="false">SUM(R31:R39)</f>
        <v>149351.569234949</v>
      </c>
      <c r="S40" s="10" t="n">
        <f aca="false">SUM(S31:S39)</f>
        <v>156283.318968823</v>
      </c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customFormat="false" ht="12.75" hidden="false" customHeight="false" outlineLevel="0" collapsed="false">
      <c r="C41" s="0" t="s">
        <v>25</v>
      </c>
      <c r="D41" s="8" t="n">
        <f aca="false">-D6+D7</f>
        <v>-476000</v>
      </c>
      <c r="H41" s="0" t="n">
        <v>-50000</v>
      </c>
      <c r="I41" s="2"/>
      <c r="M41" s="0" t="n">
        <v>-50000</v>
      </c>
      <c r="N41" s="2"/>
      <c r="R41" s="0" t="n">
        <v>-50000</v>
      </c>
      <c r="S41" s="2" t="n">
        <f aca="false">3000000-S53</f>
        <v>1285609.28948884</v>
      </c>
    </row>
    <row r="43" customFormat="false" ht="12.75" hidden="false" customHeight="false" outlineLevel="0" collapsed="false">
      <c r="A43" s="14" t="n">
        <f aca="false">NPV(0.0825,D43:S43)</f>
        <v>712002.406679674</v>
      </c>
      <c r="C43" s="0" t="s">
        <v>26</v>
      </c>
      <c r="D43" s="10" t="n">
        <f aca="false">D41+D40</f>
        <v>-410565.917458776</v>
      </c>
      <c r="E43" s="10" t="n">
        <f aca="false">E41+E40</f>
        <v>70687.4825412237</v>
      </c>
      <c r="F43" s="10" t="n">
        <f aca="false">F41+F40</f>
        <v>76045.9505412237</v>
      </c>
      <c r="G43" s="10" t="n">
        <f aca="false">G41+G40</f>
        <v>81511.5879012237</v>
      </c>
      <c r="H43" s="10" t="n">
        <f aca="false">H41+H40</f>
        <v>37086.5380084237</v>
      </c>
      <c r="I43" s="10" t="n">
        <f aca="false">I41+I40</f>
        <v>92772.9871177677</v>
      </c>
      <c r="J43" s="10" t="n">
        <f aca="false">J41+J40</f>
        <v>98573.1652092987</v>
      </c>
      <c r="K43" s="10" t="n">
        <f aca="false">K41+K40</f>
        <v>104489.34686266</v>
      </c>
      <c r="L43" s="10" t="n">
        <f aca="false">L41+L40</f>
        <v>110523.852149089</v>
      </c>
      <c r="M43" s="10" t="n">
        <f aca="false">M41+M40</f>
        <v>66679.0475412462</v>
      </c>
      <c r="N43" s="10" t="n">
        <f aca="false">N41+N40</f>
        <v>122957.346841247</v>
      </c>
      <c r="O43" s="10" t="n">
        <f aca="false">O41+O40</f>
        <v>129361.212127247</v>
      </c>
      <c r="P43" s="10" t="n">
        <f aca="false">P41+P40</f>
        <v>135893.154718968</v>
      </c>
      <c r="Q43" s="10" t="n">
        <f aca="false">Q41+Q40</f>
        <v>142555.736162523</v>
      </c>
      <c r="R43" s="10" t="n">
        <f aca="false">R41+R40</f>
        <v>99351.5692349485</v>
      </c>
      <c r="S43" s="10" t="n">
        <f aca="false">S41+S40</f>
        <v>1441892.60845766</v>
      </c>
      <c r="T43" s="10"/>
      <c r="U43" s="10" t="n">
        <f aca="false">AVERAGE(D43:S43)</f>
        <v>149988.479247248</v>
      </c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customFormat="false" ht="12.75" hidden="false" customHeight="false" outlineLevel="0" collapsed="false">
      <c r="U44" s="11" t="n">
        <f aca="false">U43/0.0825</f>
        <v>1818042.17269392</v>
      </c>
    </row>
    <row r="45" customFormat="false" ht="12.75" hidden="false" customHeight="false" outlineLevel="0" collapsed="false">
      <c r="C45" s="0" t="s">
        <v>27</v>
      </c>
      <c r="D45" s="12" t="n">
        <f aca="false">IRR(D43:S43,0.15)</f>
        <v>0.227527962455538</v>
      </c>
      <c r="E45" s="0" t="n">
        <v>410000</v>
      </c>
    </row>
    <row r="46" customFormat="false" ht="12.75" hidden="false" customHeight="false" outlineLevel="0" collapsed="false">
      <c r="D46" s="12" t="n">
        <f aca="false">IRR(D47:S47,0.15)</f>
        <v>1.23996581248664</v>
      </c>
      <c r="E46" s="0" t="n">
        <v>0.12</v>
      </c>
    </row>
    <row r="47" customFormat="false" ht="12.75" hidden="false" customHeight="false" outlineLevel="0" collapsed="false">
      <c r="A47" s="0" t="s">
        <v>47</v>
      </c>
      <c r="D47" s="16" t="n">
        <v>-410000</v>
      </c>
      <c r="E47" s="10" t="n">
        <f aca="false">+E45*(1+$E$46)</f>
        <v>459200</v>
      </c>
      <c r="F47" s="10" t="n">
        <f aca="false">+E47*(1+$E$46)</f>
        <v>514304</v>
      </c>
      <c r="G47" s="10" t="n">
        <f aca="false">+F47*(1+$E$46)</f>
        <v>576020.48</v>
      </c>
      <c r="H47" s="10" t="n">
        <f aca="false">+G47*(1+$E$46)</f>
        <v>645142.9376</v>
      </c>
      <c r="I47" s="10" t="n">
        <f aca="false">+H47*(1+$E$46)</f>
        <v>722560.090112</v>
      </c>
      <c r="J47" s="10" t="n">
        <f aca="false">+I47*(1+$E$46)</f>
        <v>809267.300925441</v>
      </c>
      <c r="K47" s="10" t="n">
        <f aca="false">+J47*(1+$E$46)</f>
        <v>906379.377036494</v>
      </c>
      <c r="L47" s="10" t="n">
        <f aca="false">+K47*(1+$E$46)</f>
        <v>1015144.90228087</v>
      </c>
      <c r="M47" s="10" t="n">
        <f aca="false">+L47*(1+$E$46)</f>
        <v>1136962.29055458</v>
      </c>
      <c r="N47" s="10" t="n">
        <f aca="false">+M47*(1+$E$46)</f>
        <v>1273397.76542113</v>
      </c>
      <c r="O47" s="10" t="n">
        <f aca="false">+N47*(1+$E$46)</f>
        <v>1426205.49727166</v>
      </c>
      <c r="P47" s="10" t="n">
        <f aca="false">+O47*(1+$E$46)</f>
        <v>1597350.15694426</v>
      </c>
      <c r="Q47" s="10" t="n">
        <f aca="false">+P47*(1+$E$46)</f>
        <v>1789032.17577757</v>
      </c>
      <c r="R47" s="10" t="n">
        <f aca="false">+Q47*(1+$E$46)</f>
        <v>2003716.03687088</v>
      </c>
      <c r="S47" s="10" t="n">
        <f aca="false">+R47*(1+$E$46)</f>
        <v>2244161.96129539</v>
      </c>
    </row>
    <row r="48" customFormat="false" ht="12.75" hidden="false" customHeight="false" outlineLevel="0" collapsed="false">
      <c r="D48" s="12"/>
    </row>
    <row r="49" customFormat="false" ht="12.75" hidden="false" customHeight="false" outlineLevel="0" collapsed="false">
      <c r="C49" s="0" t="s">
        <v>28</v>
      </c>
      <c r="D49" s="0" t="n">
        <f aca="false">(D3-D6+D7)*D4</f>
        <v>185920</v>
      </c>
      <c r="E49" s="0" t="n">
        <f aca="false">+D53*$D$4</f>
        <v>178294.726603298</v>
      </c>
      <c r="F49" s="0" t="n">
        <f aca="false">+E53*$D$4</f>
        <v>176779.43133486</v>
      </c>
      <c r="G49" s="0" t="n">
        <f aca="false">+F53*$D$4</f>
        <v>175142.912444946</v>
      </c>
      <c r="H49" s="0" t="n">
        <f aca="false">+G53*$D$4</f>
        <v>173375.47204384</v>
      </c>
      <c r="I49" s="0" t="n">
        <f aca="false">+H53*$D$4</f>
        <v>171466.636410645</v>
      </c>
      <c r="J49" s="0" t="n">
        <f aca="false">+I53*$D$4</f>
        <v>169405.093926794</v>
      </c>
      <c r="K49" s="0" t="n">
        <f aca="false">+J53*$D$4</f>
        <v>167178.628044236</v>
      </c>
      <c r="L49" s="0" t="n">
        <f aca="false">+K53*$D$4</f>
        <v>164774.044891073</v>
      </c>
      <c r="M49" s="0" t="n">
        <f aca="false">+L53*$D$4</f>
        <v>162177.095085656</v>
      </c>
      <c r="N49" s="0" t="n">
        <f aca="false">+M53*$D$4</f>
        <v>159372.389295807</v>
      </c>
      <c r="O49" s="0" t="n">
        <f aca="false">+N53*$D$4</f>
        <v>156343.307042769</v>
      </c>
      <c r="P49" s="0" t="n">
        <f aca="false">+O53*$D$4</f>
        <v>153071.898209489</v>
      </c>
      <c r="Q49" s="0" t="n">
        <f aca="false">+P53*$D$4</f>
        <v>149538.776669546</v>
      </c>
      <c r="R49" s="0" t="n">
        <f aca="false">+Q53*$D$4</f>
        <v>145723.005406407</v>
      </c>
      <c r="S49" s="0" t="n">
        <f aca="false">+R53*$D$4</f>
        <v>141601.972442218</v>
      </c>
    </row>
    <row r="50" customFormat="false" ht="12.75" hidden="false" customHeight="false" outlineLevel="0" collapsed="false">
      <c r="C50" s="0" t="s">
        <v>29</v>
      </c>
      <c r="D50" s="2" t="n">
        <f aca="false">-D33</f>
        <v>197235.917458776</v>
      </c>
      <c r="E50" s="2" t="n">
        <f aca="false">-E33</f>
        <v>197235.917458776</v>
      </c>
      <c r="F50" s="2" t="n">
        <f aca="false">-F33</f>
        <v>197235.917458776</v>
      </c>
      <c r="G50" s="2" t="n">
        <f aca="false">-G33</f>
        <v>197235.917458776</v>
      </c>
      <c r="H50" s="2" t="n">
        <f aca="false">-H33</f>
        <v>197235.917458776</v>
      </c>
      <c r="I50" s="2" t="n">
        <f aca="false">-I33</f>
        <v>197235.917458776</v>
      </c>
      <c r="J50" s="2" t="n">
        <f aca="false">-J33</f>
        <v>197235.917458776</v>
      </c>
      <c r="K50" s="2" t="n">
        <f aca="false">-K33</f>
        <v>197235.917458776</v>
      </c>
      <c r="L50" s="2" t="n">
        <f aca="false">-L33</f>
        <v>197235.917458776</v>
      </c>
      <c r="M50" s="2" t="n">
        <f aca="false">-M33</f>
        <v>197235.917458776</v>
      </c>
      <c r="N50" s="2" t="n">
        <f aca="false">-N33</f>
        <v>197235.917458776</v>
      </c>
      <c r="O50" s="2" t="n">
        <f aca="false">-O33</f>
        <v>197235.917458776</v>
      </c>
      <c r="P50" s="2" t="n">
        <f aca="false">-P33</f>
        <v>197235.917458776</v>
      </c>
      <c r="Q50" s="2" t="n">
        <f aca="false">-Q33</f>
        <v>197235.917458776</v>
      </c>
      <c r="R50" s="2" t="n">
        <f aca="false">-R33</f>
        <v>197235.917458776</v>
      </c>
      <c r="S50" s="2" t="n">
        <f aca="false">-S33</f>
        <v>197235.917458776</v>
      </c>
    </row>
    <row r="51" customFormat="false" ht="12.75" hidden="false" customHeight="false" outlineLevel="0" collapsed="false">
      <c r="C51" s="0" t="s">
        <v>30</v>
      </c>
      <c r="D51" s="2" t="n">
        <f aca="false">+D50-D49</f>
        <v>11315.9174587763</v>
      </c>
      <c r="E51" s="2" t="n">
        <f aca="false">+E50-E49</f>
        <v>18941.1908554784</v>
      </c>
      <c r="F51" s="2" t="n">
        <f aca="false">+F50-F49</f>
        <v>20456.4861239167</v>
      </c>
      <c r="G51" s="2" t="n">
        <f aca="false">+G50-G49</f>
        <v>22093.00501383</v>
      </c>
      <c r="H51" s="2" t="n">
        <f aca="false">+H50-H49</f>
        <v>23860.4454149364</v>
      </c>
      <c r="I51" s="2" t="n">
        <f aca="false">+I50-I49</f>
        <v>25769.2810481314</v>
      </c>
      <c r="J51" s="2" t="n">
        <f aca="false">+J50-J49</f>
        <v>27830.8235319819</v>
      </c>
      <c r="K51" s="2" t="n">
        <f aca="false">+K50-K49</f>
        <v>30057.2894145404</v>
      </c>
      <c r="L51" s="2" t="n">
        <f aca="false">+L50-L49</f>
        <v>32461.8725677037</v>
      </c>
      <c r="M51" s="2" t="n">
        <f aca="false">+M50-M49</f>
        <v>35058.8223731199</v>
      </c>
      <c r="N51" s="2" t="n">
        <f aca="false">+N50-N49</f>
        <v>37863.5281629695</v>
      </c>
      <c r="O51" s="2" t="n">
        <f aca="false">+O50-O49</f>
        <v>40892.6104160071</v>
      </c>
      <c r="P51" s="2" t="n">
        <f aca="false">+P50-P49</f>
        <v>44164.0192492876</v>
      </c>
      <c r="Q51" s="2" t="n">
        <f aca="false">+Q50-Q49</f>
        <v>47697.1407892307</v>
      </c>
      <c r="R51" s="2" t="n">
        <f aca="false">+R50-R49</f>
        <v>51512.9120523691</v>
      </c>
      <c r="S51" s="2" t="n">
        <f aca="false">+S50-S49</f>
        <v>55633.9450165587</v>
      </c>
    </row>
    <row r="53" customFormat="false" ht="12.75" hidden="false" customHeight="false" outlineLevel="0" collapsed="false">
      <c r="C53" s="0" t="s">
        <v>31</v>
      </c>
      <c r="D53" s="2" t="n">
        <f aca="false">+(D3-D6)-D51</f>
        <v>2228684.08254122</v>
      </c>
      <c r="E53" s="2" t="n">
        <f aca="false">+D53-E51</f>
        <v>2209742.89168575</v>
      </c>
      <c r="F53" s="2" t="n">
        <f aca="false">+E53-F51</f>
        <v>2189286.40556183</v>
      </c>
      <c r="G53" s="2" t="n">
        <f aca="false">+F53-G51</f>
        <v>2167193.400548</v>
      </c>
      <c r="H53" s="2" t="n">
        <f aca="false">+G53-H51</f>
        <v>2143332.95513306</v>
      </c>
      <c r="I53" s="2" t="n">
        <f aca="false">+H53-I51</f>
        <v>2117563.67408493</v>
      </c>
      <c r="J53" s="2" t="n">
        <f aca="false">+I53-J51</f>
        <v>2089732.85055295</v>
      </c>
      <c r="K53" s="2" t="n">
        <f aca="false">+J53-K51</f>
        <v>2059675.56113841</v>
      </c>
      <c r="L53" s="2" t="n">
        <f aca="false">+K53-L51</f>
        <v>2027213.6885707</v>
      </c>
      <c r="M53" s="2" t="n">
        <f aca="false">+L53-M51</f>
        <v>1992154.86619759</v>
      </c>
      <c r="N53" s="2" t="n">
        <f aca="false">+M53-N51</f>
        <v>1954291.33803462</v>
      </c>
      <c r="O53" s="2" t="n">
        <f aca="false">+N53-O51</f>
        <v>1913398.72761861</v>
      </c>
      <c r="P53" s="2" t="n">
        <f aca="false">+O53-P51</f>
        <v>1869234.70836932</v>
      </c>
      <c r="Q53" s="2" t="n">
        <f aca="false">+P53-Q51</f>
        <v>1821537.56758009</v>
      </c>
      <c r="R53" s="2" t="n">
        <f aca="false">+Q53-R51</f>
        <v>1770024.65552772</v>
      </c>
      <c r="S53" s="2" t="n">
        <f aca="false">+R53-S51</f>
        <v>1714390.71051116</v>
      </c>
    </row>
    <row r="56" customFormat="false" ht="12.75" hidden="false" customHeight="false" outlineLevel="0" collapsed="false">
      <c r="C56" s="0" t="s">
        <v>37</v>
      </c>
      <c r="D56" s="10" t="e">
        <f aca="false">D31+D34+#REF!+D37+D38</f>
        <v>#REF!</v>
      </c>
      <c r="E56" s="10" t="e">
        <f aca="false">E31+E34+#REF!+E37+E38</f>
        <v>#REF!</v>
      </c>
      <c r="F56" s="10" t="e">
        <f aca="false">F31+F34+#REF!+F37+F38</f>
        <v>#REF!</v>
      </c>
      <c r="G56" s="10" t="e">
        <f aca="false">G31+G34+#REF!+G37+G38</f>
        <v>#REF!</v>
      </c>
      <c r="H56" s="10" t="e">
        <f aca="false">H31+H34+#REF!+H37+H38</f>
        <v>#REF!</v>
      </c>
      <c r="I56" s="10" t="e">
        <f aca="false">I31+I34+#REF!+I37+I38</f>
        <v>#REF!</v>
      </c>
      <c r="J56" s="10" t="e">
        <f aca="false">J31+J34+#REF!+J37+J38</f>
        <v>#REF!</v>
      </c>
      <c r="K56" s="10" t="e">
        <f aca="false">K31+K34+#REF!+K37+K38</f>
        <v>#REF!</v>
      </c>
      <c r="L56" s="10" t="e">
        <f aca="false">L31+L34+#REF!+L37+L38</f>
        <v>#REF!</v>
      </c>
      <c r="M56" s="10" t="e">
        <f aca="false">M31+M34+#REF!+M37+M38</f>
        <v>#REF!</v>
      </c>
      <c r="N56" s="10" t="e">
        <f aca="false">N31+N34+#REF!+N37+N38</f>
        <v>#REF!</v>
      </c>
      <c r="O56" s="10" t="e">
        <f aca="false">O31+O34+#REF!+O37+O38</f>
        <v>#REF!</v>
      </c>
      <c r="P56" s="10" t="e">
        <f aca="false">P31+P34+#REF!+P37+P38</f>
        <v>#REF!</v>
      </c>
      <c r="Q56" s="10" t="e">
        <f aca="false">Q31+Q34+#REF!+Q37+Q38</f>
        <v>#REF!</v>
      </c>
      <c r="R56" s="10" t="e">
        <f aca="false">R31+R34+#REF!+R37+R38</f>
        <v>#REF!</v>
      </c>
      <c r="S56" s="10" t="e">
        <f aca="false">S31+S34+#REF!+S37+S38</f>
        <v>#REF!</v>
      </c>
    </row>
    <row r="57" customFormat="false" ht="12.75" hidden="false" customHeight="false" outlineLevel="0" collapsed="false">
      <c r="C57" s="0" t="s">
        <v>48</v>
      </c>
      <c r="D57" s="2" t="n">
        <f aca="false">D33+D51</f>
        <v>-185920</v>
      </c>
      <c r="E57" s="2" t="n">
        <f aca="false">E33+E51</f>
        <v>-178294.726603298</v>
      </c>
      <c r="F57" s="2" t="n">
        <f aca="false">F33+F51</f>
        <v>-176779.43133486</v>
      </c>
      <c r="G57" s="2" t="n">
        <f aca="false">G33+G51</f>
        <v>-175142.912444946</v>
      </c>
      <c r="H57" s="2" t="n">
        <f aca="false">H33+H51</f>
        <v>-173375.47204384</v>
      </c>
      <c r="I57" s="2" t="n">
        <f aca="false">I33+I51</f>
        <v>-171466.636410645</v>
      </c>
      <c r="J57" s="2" t="n">
        <f aca="false">J33+J51</f>
        <v>-169405.093926794</v>
      </c>
      <c r="K57" s="2" t="n">
        <f aca="false">K33+K51</f>
        <v>-167178.628044236</v>
      </c>
      <c r="L57" s="2" t="n">
        <f aca="false">L33+L51</f>
        <v>-164774.044891073</v>
      </c>
      <c r="M57" s="2" t="n">
        <f aca="false">M33+M51</f>
        <v>-162177.095085656</v>
      </c>
      <c r="N57" s="2" t="n">
        <f aca="false">N33+N51</f>
        <v>-159372.389295807</v>
      </c>
      <c r="O57" s="2" t="n">
        <f aca="false">O33+O51</f>
        <v>-156343.307042769</v>
      </c>
      <c r="P57" s="2" t="n">
        <f aca="false">P33+P51</f>
        <v>-153071.898209489</v>
      </c>
      <c r="Q57" s="2" t="n">
        <f aca="false">Q33+Q51</f>
        <v>-149538.776669546</v>
      </c>
      <c r="R57" s="2" t="n">
        <f aca="false">R33+R51</f>
        <v>-145723.005406407</v>
      </c>
      <c r="S57" s="2" t="n">
        <f aca="false">S33+S51</f>
        <v>-141601.972442218</v>
      </c>
    </row>
    <row r="58" customFormat="false" ht="12.75" hidden="false" customHeight="false" outlineLevel="0" collapsed="false">
      <c r="C58" s="0" t="s">
        <v>49</v>
      </c>
      <c r="D58" s="8" t="n">
        <f aca="false">-$D$3/15</f>
        <v>-186666.666666667</v>
      </c>
      <c r="E58" s="8" t="n">
        <f aca="false">-$D$3/15</f>
        <v>-186666.666666667</v>
      </c>
      <c r="F58" s="8" t="n">
        <f aca="false">-$D$3/15</f>
        <v>-186666.666666667</v>
      </c>
      <c r="G58" s="8" t="n">
        <f aca="false">-$D$3/15</f>
        <v>-186666.666666667</v>
      </c>
      <c r="H58" s="8" t="n">
        <f aca="false">-$D$3/15</f>
        <v>-186666.666666667</v>
      </c>
      <c r="I58" s="8" t="n">
        <f aca="false">-$D$3/15</f>
        <v>-186666.666666667</v>
      </c>
      <c r="J58" s="8" t="n">
        <f aca="false">-$D$3/15</f>
        <v>-186666.666666667</v>
      </c>
      <c r="K58" s="8" t="n">
        <f aca="false">-$D$3/15</f>
        <v>-186666.666666667</v>
      </c>
      <c r="L58" s="8" t="n">
        <f aca="false">-$D$3/15</f>
        <v>-186666.666666667</v>
      </c>
      <c r="M58" s="8" t="n">
        <f aca="false">-$D$3/15</f>
        <v>-186666.666666667</v>
      </c>
      <c r="N58" s="8" t="n">
        <f aca="false">-$D$3/15</f>
        <v>-186666.666666667</v>
      </c>
      <c r="O58" s="8" t="n">
        <f aca="false">-$D$3/15</f>
        <v>-186666.666666667</v>
      </c>
      <c r="P58" s="8" t="n">
        <f aca="false">-$D$3/15</f>
        <v>-186666.666666667</v>
      </c>
      <c r="Q58" s="8" t="n">
        <f aca="false">-$D$3/15</f>
        <v>-186666.666666667</v>
      </c>
      <c r="R58" s="8" t="n">
        <f aca="false">-$D$3/15</f>
        <v>-186666.666666667</v>
      </c>
      <c r="S58" s="8" t="n">
        <f aca="false">-$D$3/15</f>
        <v>-186666.666666667</v>
      </c>
    </row>
    <row r="60" customFormat="false" ht="12.75" hidden="false" customHeight="false" outlineLevel="0" collapsed="false">
      <c r="C60" s="0" t="s">
        <v>50</v>
      </c>
      <c r="D60" s="10" t="e">
        <f aca="false">SUM(D56:D58)</f>
        <v>#REF!</v>
      </c>
      <c r="E60" s="10" t="e">
        <f aca="false">SUM(E56:E58)</f>
        <v>#REF!</v>
      </c>
      <c r="F60" s="10" t="e">
        <f aca="false">SUM(F56:F58)</f>
        <v>#REF!</v>
      </c>
      <c r="G60" s="10" t="e">
        <f aca="false">SUM(G56:G58)</f>
        <v>#REF!</v>
      </c>
      <c r="H60" s="10" t="e">
        <f aca="false">SUM(H56:H58)</f>
        <v>#REF!</v>
      </c>
      <c r="I60" s="10" t="e">
        <f aca="false">SUM(I56:I58)</f>
        <v>#REF!</v>
      </c>
      <c r="J60" s="10" t="e">
        <f aca="false">SUM(J56:J58)</f>
        <v>#REF!</v>
      </c>
      <c r="K60" s="10" t="e">
        <f aca="false">SUM(K56:K58)</f>
        <v>#REF!</v>
      </c>
      <c r="L60" s="10" t="e">
        <f aca="false">SUM(L56:L58)</f>
        <v>#REF!</v>
      </c>
      <c r="M60" s="10" t="e">
        <f aca="false">SUM(M56:M58)</f>
        <v>#REF!</v>
      </c>
      <c r="N60" s="10" t="e">
        <f aca="false">SUM(N56:N58)</f>
        <v>#REF!</v>
      </c>
      <c r="O60" s="10" t="e">
        <f aca="false">SUM(O56:O58)</f>
        <v>#REF!</v>
      </c>
      <c r="P60" s="10" t="e">
        <f aca="false">SUM(P56:P58)</f>
        <v>#REF!</v>
      </c>
      <c r="Q60" s="10" t="e">
        <f aca="false">SUM(Q56:Q58)</f>
        <v>#REF!</v>
      </c>
      <c r="R60" s="10" t="e">
        <f aca="false">SUM(R56:R58)</f>
        <v>#REF!</v>
      </c>
      <c r="S60" s="10" t="e">
        <f aca="false">SUM(S56:S58)</f>
        <v>#REF!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1998-09-21T18:37:47Z</dcterms:created>
  <dc:creator>enron</dc:creator>
  <dc:description/>
  <dc:language>en-US</dc:language>
  <cp:lastModifiedBy>pallen</cp:lastModifiedBy>
  <cp:lastPrinted>1999-04-13T19:26:44Z</cp:lastPrinted>
  <cp:revision>0</cp:revision>
  <dc:subject/>
  <dc:title/>
</cp:coreProperties>
</file>