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BIT" sheetId="1" state="visible" r:id="rId3"/>
    <sheet name="GrossMargin" sheetId="2" state="visible" r:id="rId4"/>
    <sheet name="Expenses" sheetId="3" state="visible" r:id="rId5"/>
    <sheet name="Cap Charge" sheetId="4" state="visible" r:id="rId6"/>
    <sheet name="Explanations" sheetId="5" state="visible" r:id="rId7"/>
  </sheets>
  <externalReferences>
    <externalReference r:id="rId8"/>
  </externalReferences>
  <definedNames>
    <definedName function="false" hidden="false" localSheetId="3" name="_xlnm.Print_Area" vbProcedure="false">'Cap Charge'!$A$1:$I$93</definedName>
    <definedName function="false" hidden="false" localSheetId="0" name="_xlnm.Print_Area" vbProcedure="false">EBIT!$A$1:$I$101</definedName>
    <definedName function="false" hidden="false" localSheetId="2" name="_xlnm.Print_Area" vbProcedure="false">Expenses!$A$1:$I$98</definedName>
    <definedName function="false" hidden="false" localSheetId="1" name="_xlnm.Print_Area" vbProcedure="false">GrossMargin!$A$1:$I$97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<sst xmlns="http://schemas.openxmlformats.org/spreadsheetml/2006/main" count="161" uniqueCount="60">
  <si>
    <t xml:space="preserve">Enron North America</t>
  </si>
  <si>
    <t xml:space="preserve">EBIT by Quarter</t>
  </si>
  <si>
    <t xml:space="preserve">Full Year Forecast</t>
  </si>
  <si>
    <t xml:space="preserve">(Without Origination Margin Plan 4Q)</t>
  </si>
  <si>
    <t xml:space="preserve">Business Team</t>
  </si>
  <si>
    <t xml:space="preserve">EBIT Detail</t>
  </si>
  <si>
    <t xml:space="preserve">Total</t>
  </si>
  <si>
    <t xml:space="preserve">1Q Actual</t>
  </si>
  <si>
    <t xml:space="preserve">2Q Actual</t>
  </si>
  <si>
    <t xml:space="preserve">3Q Actual</t>
  </si>
  <si>
    <t xml:space="preserve">4Q Plan + known variances</t>
  </si>
  <si>
    <t xml:space="preserve">YTD EBIT</t>
  </si>
  <si>
    <t xml:space="preserve">Full Year Plan</t>
  </si>
  <si>
    <t xml:space="preserve">Variance</t>
  </si>
  <si>
    <t xml:space="preserve">  Total East Power</t>
  </si>
  <si>
    <t xml:space="preserve">  Total West Power</t>
  </si>
  <si>
    <t xml:space="preserve">  Total Natural Gas</t>
  </si>
  <si>
    <t xml:space="preserve">  Total Canada </t>
  </si>
  <si>
    <t xml:space="preserve">Total Commercial</t>
  </si>
  <si>
    <t xml:space="preserve">    Business Analysis &amp; Reptg (Colwell)</t>
  </si>
  <si>
    <t xml:space="preserve">    Transaction Support (Colwell)</t>
  </si>
  <si>
    <t xml:space="preserve">    Canada Support (Milnthorp)</t>
  </si>
  <si>
    <t xml:space="preserve">    Energy Operations (Beck)</t>
  </si>
  <si>
    <t xml:space="preserve">    Human Resources (Oxley)</t>
  </si>
  <si>
    <t xml:space="preserve">    Legal (Haedicke)</t>
  </si>
  <si>
    <t xml:space="preserve">    Public Relations (Thoede)</t>
  </si>
  <si>
    <t xml:space="preserve">    Tax (Douglas)</t>
  </si>
  <si>
    <t xml:space="preserve">    Research (Kaminski)</t>
  </si>
  <si>
    <t xml:space="preserve">    Competitive Analysis (Tholan)</t>
  </si>
  <si>
    <t xml:space="preserve">    Treasury (Deffner)</t>
  </si>
  <si>
    <t xml:space="preserve">    Technical Services (Redmond))</t>
  </si>
  <si>
    <t xml:space="preserve">    Information Technology (Pickering)</t>
  </si>
  <si>
    <t xml:space="preserve">    Corp Charges and Non-Allocable</t>
  </si>
  <si>
    <t xml:space="preserve">Total Group</t>
  </si>
  <si>
    <t xml:space="preserve">North America EBIT</t>
  </si>
  <si>
    <t xml:space="preserve">South America EBIT</t>
  </si>
  <si>
    <t xml:space="preserve">Americas EBIT</t>
  </si>
  <si>
    <t xml:space="preserve">Interest Expense/(Income)</t>
  </si>
  <si>
    <t xml:space="preserve">North America Pre-tax Income</t>
  </si>
  <si>
    <t xml:space="preserve">* LT Fundamentals, Special Assets</t>
  </si>
  <si>
    <t xml:space="preserve">Gross Margin by Quarter</t>
  </si>
  <si>
    <t xml:space="preserve">Margin Detail</t>
  </si>
  <si>
    <t xml:space="preserve">YTD Margin</t>
  </si>
  <si>
    <t xml:space="preserve">North America Margin</t>
  </si>
  <si>
    <t xml:space="preserve">South America Margin</t>
  </si>
  <si>
    <t xml:space="preserve">Americas Margin</t>
  </si>
  <si>
    <t xml:space="preserve">Expenses by Quarter</t>
  </si>
  <si>
    <t xml:space="preserve">Expense Detail</t>
  </si>
  <si>
    <t xml:space="preserve">YTD Expenses</t>
  </si>
  <si>
    <t xml:space="preserve">North America Expenses</t>
  </si>
  <si>
    <t xml:space="preserve">South America Expenses</t>
  </si>
  <si>
    <t xml:space="preserve">Americas Expenses</t>
  </si>
  <si>
    <t xml:space="preserve">Capital Charge by Quarter</t>
  </si>
  <si>
    <t xml:space="preserve">Capital Charge Detail</t>
  </si>
  <si>
    <t xml:space="preserve">YTD Cap Charge</t>
  </si>
  <si>
    <t xml:space="preserve">North America Cap Charge</t>
  </si>
  <si>
    <t xml:space="preserve">Explanation of Expense Variances</t>
  </si>
  <si>
    <r>
      <rPr>
        <b val="true"/>
        <sz val="10"/>
        <rFont val="Arial"/>
        <family val="2"/>
      </rPr>
      <t xml:space="preserve">East Gas Trading</t>
    </r>
    <r>
      <rPr>
        <sz val="10"/>
        <rFont val="Arial"/>
        <family val="0"/>
      </rPr>
      <t xml:space="preserve">:  variance due to  franchise taxes</t>
    </r>
  </si>
  <si>
    <r>
      <rPr>
        <b val="true"/>
        <sz val="10"/>
        <rFont val="Arial"/>
        <family val="2"/>
      </rPr>
      <t xml:space="preserve">West Power Trading</t>
    </r>
    <r>
      <rPr>
        <sz val="10"/>
        <rFont val="Arial"/>
        <family val="0"/>
      </rPr>
      <t xml:space="preserve">:  variance due legal fees associated with California</t>
    </r>
  </si>
  <si>
    <r>
      <rPr>
        <b val="true"/>
        <sz val="10"/>
        <rFont val="Arial"/>
        <family val="2"/>
      </rPr>
      <t xml:space="preserve">Canada Natural Gas</t>
    </r>
    <r>
      <rPr>
        <sz val="10"/>
        <rFont val="Arial"/>
        <family val="0"/>
      </rPr>
      <t xml:space="preserve">:  variance due to letter of credit fees that were not included in plan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</si>
</sst>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mmm\ d&quot;, &quot;yyyy"/>
    <numFmt numFmtId="168" formatCode="_(\$* #,##0.00_);_(\$* \(#,##0.00\);_(\$* \-??_);_(@_)"/>
    <numFmt numFmtId="169" formatCode="_(\$* #,##0_);_(\$* \(#,##0\);_(\$* \-??_);_(@_)"/>
    <numFmt numFmtId="170" formatCode="_(* #,##0_);_(* \(#,##0\);_(* \-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name val="Arial"/>
      <family val="2"/>
    </font>
    <font>
      <b val="true"/>
      <sz val="10"/>
      <color rgb="FF000000"/>
      <name val="Arial Narrow"/>
      <family val="2"/>
    </font>
    <font>
      <b val="true"/>
      <sz val="10"/>
      <color rgb="FF0000FF"/>
      <name val="Arial Narrow"/>
      <family val="2"/>
    </font>
    <font>
      <sz val="8"/>
      <color rgb="FFFF0000"/>
      <name val="Arial Narrow"/>
      <family val="2"/>
    </font>
    <font>
      <b val="true"/>
      <sz val="8"/>
      <color rgb="FF0000FF"/>
      <name val="Arial Narrow"/>
      <family val="2"/>
    </font>
    <font>
      <b val="true"/>
      <i val="true"/>
      <sz val="8"/>
      <name val="Arial Narrow"/>
      <family val="2"/>
    </font>
    <font>
      <b val="true"/>
      <sz val="9"/>
      <color rgb="FF0000FF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sz val="9"/>
      <name val="Arial Narrow"/>
      <family val="2"/>
    </font>
    <font>
      <b val="true"/>
      <sz val="10"/>
      <name val="Arial Narrow"/>
      <family val="2"/>
    </font>
    <font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3" fillId="2" borderId="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3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2" borderId="1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2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2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2" borderId="14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5" fillId="2" borderId="13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5" fillId="2" borderId="1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5" fillId="2" borderId="16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3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0" borderId="1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0" borderId="3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5" fillId="2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2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4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3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3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2" borderId="18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5" fillId="2" borderId="19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1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7" fillId="0" borderId="1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6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5" fillId="2" borderId="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5" fillId="2" borderId="6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5" fillId="2" borderId="7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3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3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2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4" fillId="0" borderId="1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5" fillId="2" borderId="11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28800</xdr:rowOff>
    </xdr:from>
    <xdr:to>
      <xdr:col>6</xdr:col>
      <xdr:colOff>720</xdr:colOff>
      <xdr:row>0</xdr:row>
      <xdr:rowOff>47880</xdr:rowOff>
    </xdr:to>
    <xdr:sp>
      <xdr:nvSpPr>
        <xdr:cNvPr id="0" name="Line 2"/>
        <xdr:cNvSpPr/>
      </xdr:nvSpPr>
      <xdr:spPr>
        <a:xfrm flipH="1">
          <a:off x="10080" y="28800"/>
          <a:ext cx="4577760" cy="1908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50400</xdr:colOff>
      <xdr:row>5</xdr:row>
      <xdr:rowOff>104760</xdr:rowOff>
    </xdr:from>
    <xdr:to>
      <xdr:col>8</xdr:col>
      <xdr:colOff>583920</xdr:colOff>
      <xdr:row>5</xdr:row>
      <xdr:rowOff>123480</xdr:rowOff>
    </xdr:to>
    <xdr:sp>
      <xdr:nvSpPr>
        <xdr:cNvPr id="1" name="Line 4"/>
        <xdr:cNvSpPr/>
      </xdr:nvSpPr>
      <xdr:spPr>
        <a:xfrm flipH="1">
          <a:off x="2153520" y="1202760"/>
          <a:ext cx="4244400" cy="1872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28800</xdr:rowOff>
    </xdr:from>
    <xdr:to>
      <xdr:col>6</xdr:col>
      <xdr:colOff>720</xdr:colOff>
      <xdr:row>0</xdr:row>
      <xdr:rowOff>47880</xdr:rowOff>
    </xdr:to>
    <xdr:sp>
      <xdr:nvSpPr>
        <xdr:cNvPr id="2" name="Line 2"/>
        <xdr:cNvSpPr/>
      </xdr:nvSpPr>
      <xdr:spPr>
        <a:xfrm flipH="1">
          <a:off x="10080" y="28800"/>
          <a:ext cx="4577760" cy="1908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50400</xdr:colOff>
      <xdr:row>5</xdr:row>
      <xdr:rowOff>104760</xdr:rowOff>
    </xdr:from>
    <xdr:to>
      <xdr:col>8</xdr:col>
      <xdr:colOff>583920</xdr:colOff>
      <xdr:row>5</xdr:row>
      <xdr:rowOff>123480</xdr:rowOff>
    </xdr:to>
    <xdr:sp>
      <xdr:nvSpPr>
        <xdr:cNvPr id="3" name="Line 4"/>
        <xdr:cNvSpPr/>
      </xdr:nvSpPr>
      <xdr:spPr>
        <a:xfrm flipH="1">
          <a:off x="2153520" y="1202760"/>
          <a:ext cx="4244400" cy="1872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28800</xdr:rowOff>
    </xdr:from>
    <xdr:to>
      <xdr:col>6</xdr:col>
      <xdr:colOff>720</xdr:colOff>
      <xdr:row>0</xdr:row>
      <xdr:rowOff>47880</xdr:rowOff>
    </xdr:to>
    <xdr:sp>
      <xdr:nvSpPr>
        <xdr:cNvPr id="4" name="Line 2"/>
        <xdr:cNvSpPr/>
      </xdr:nvSpPr>
      <xdr:spPr>
        <a:xfrm flipH="1">
          <a:off x="10080" y="28800"/>
          <a:ext cx="4577760" cy="1908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50400</xdr:colOff>
      <xdr:row>5</xdr:row>
      <xdr:rowOff>104760</xdr:rowOff>
    </xdr:from>
    <xdr:to>
      <xdr:col>8</xdr:col>
      <xdr:colOff>583920</xdr:colOff>
      <xdr:row>5</xdr:row>
      <xdr:rowOff>123480</xdr:rowOff>
    </xdr:to>
    <xdr:sp>
      <xdr:nvSpPr>
        <xdr:cNvPr id="5" name="Line 4"/>
        <xdr:cNvSpPr/>
      </xdr:nvSpPr>
      <xdr:spPr>
        <a:xfrm flipH="1">
          <a:off x="2153520" y="1202760"/>
          <a:ext cx="4244400" cy="1872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28800</xdr:rowOff>
    </xdr:from>
    <xdr:to>
      <xdr:col>6</xdr:col>
      <xdr:colOff>720</xdr:colOff>
      <xdr:row>0</xdr:row>
      <xdr:rowOff>47880</xdr:rowOff>
    </xdr:to>
    <xdr:sp>
      <xdr:nvSpPr>
        <xdr:cNvPr id="6" name="Line 2"/>
        <xdr:cNvSpPr/>
      </xdr:nvSpPr>
      <xdr:spPr>
        <a:xfrm flipH="1">
          <a:off x="10080" y="28800"/>
          <a:ext cx="4577760" cy="1908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50400</xdr:colOff>
      <xdr:row>5</xdr:row>
      <xdr:rowOff>104760</xdr:rowOff>
    </xdr:from>
    <xdr:to>
      <xdr:col>8</xdr:col>
      <xdr:colOff>583920</xdr:colOff>
      <xdr:row>5</xdr:row>
      <xdr:rowOff>123480</xdr:rowOff>
    </xdr:to>
    <xdr:sp>
      <xdr:nvSpPr>
        <xdr:cNvPr id="7" name="Line 4"/>
        <xdr:cNvSpPr/>
      </xdr:nvSpPr>
      <xdr:spPr>
        <a:xfrm flipH="1">
          <a:off x="2153520" y="1202760"/>
          <a:ext cx="4244400" cy="1872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3Q%202001/MgmtSum-3Q_2001_081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GM-WklyChnge"/>
      <sheetName val="GrossMargin"/>
      <sheetName val="WeeklyExpChange"/>
      <sheetName val="Expenses"/>
      <sheetName val="Cap Charge"/>
      <sheetName val="YTD Mgmt Summ"/>
      <sheetName val="YTD GrossMargin"/>
    </sheetNames>
    <sheetDataSet>
      <sheetData sheetId="0"/>
      <sheetData sheetId="1">
        <row r="9">
          <cell r="A9" t="str">
            <v>Northeast Trading (Davis)</v>
          </cell>
        </row>
        <row r="10">
          <cell r="A10" t="str">
            <v>Northeast Origination (Llodra)</v>
          </cell>
        </row>
        <row r="11">
          <cell r="A11" t="str">
            <v>Midwest Trading (Sturm)</v>
          </cell>
        </row>
        <row r="12">
          <cell r="A12" t="str">
            <v>Midwest Origination (Baughman)</v>
          </cell>
        </row>
        <row r="13">
          <cell r="A13" t="str">
            <v>Southeast Trading (Carson) </v>
          </cell>
        </row>
        <row r="14">
          <cell r="A14" t="str">
            <v>Southeast Orig (Kroll) </v>
          </cell>
        </row>
        <row r="15">
          <cell r="A15" t="str">
            <v>ERCOT Trading (Curry)</v>
          </cell>
        </row>
        <row r="16">
          <cell r="A16" t="str">
            <v>ERCOT Orig (Curry/Smith)</v>
          </cell>
        </row>
        <row r="17">
          <cell r="A17" t="str">
            <v>Options (Arora)</v>
          </cell>
        </row>
        <row r="18">
          <cell r="A18" t="str">
            <v>Management  Book (Presto)</v>
          </cell>
        </row>
        <row r="19">
          <cell r="A19" t="str">
            <v>Services (Will)</v>
          </cell>
        </row>
        <row r="20">
          <cell r="A20" t="str">
            <v>Development (Jacoby)</v>
          </cell>
        </row>
        <row r="21">
          <cell r="A21" t="str">
            <v>Generation Investments (Duran)</v>
          </cell>
        </row>
        <row r="22">
          <cell r="A22" t="str">
            <v>Structuring/Fundamentals (Meyn/Will)</v>
          </cell>
        </row>
        <row r="24">
          <cell r="A24" t="str">
            <v>Trading (Belden)</v>
          </cell>
        </row>
        <row r="25">
          <cell r="A25" t="str">
            <v>Services (Foster/Wolfe)</v>
          </cell>
        </row>
        <row r="26">
          <cell r="A26" t="str">
            <v>Middle Market Originations (Foster)</v>
          </cell>
        </row>
        <row r="27">
          <cell r="A27" t="str">
            <v>Orginations (Thomas/McDonald)</v>
          </cell>
        </row>
        <row r="28">
          <cell r="A28" t="str">
            <v>Executive (Calger)</v>
          </cell>
        </row>
        <row r="29">
          <cell r="A29" t="str">
            <v>Generation (Parquet)</v>
          </cell>
        </row>
        <row r="30">
          <cell r="A30" t="str">
            <v>Fundamentals (Heizenreiker)</v>
          </cell>
        </row>
        <row r="32">
          <cell r="A32" t="str">
            <v>East Trading (Neal)</v>
          </cell>
        </row>
        <row r="33">
          <cell r="A33" t="str">
            <v>East Origination (Vickers)</v>
          </cell>
        </row>
        <row r="34">
          <cell r="A34" t="str">
            <v>Central Trading (Shively)</v>
          </cell>
        </row>
        <row r="35">
          <cell r="A35" t="str">
            <v>Central Origination (Luce)</v>
          </cell>
        </row>
        <row r="36">
          <cell r="A36" t="str">
            <v>Texas Trading (Martin)</v>
          </cell>
        </row>
        <row r="37">
          <cell r="A37" t="str">
            <v>Texas Origination (Redmond)</v>
          </cell>
        </row>
        <row r="38">
          <cell r="A38" t="str">
            <v>West Trading (Allen)</v>
          </cell>
        </row>
        <row r="39">
          <cell r="A39" t="str">
            <v>West Origination (Tycholiz)</v>
          </cell>
        </row>
        <row r="40">
          <cell r="A40" t="str">
            <v>Financial Gas (Arnold)</v>
          </cell>
        </row>
        <row r="41">
          <cell r="A41" t="str">
            <v>Derivative Origination (Lagrasta)</v>
          </cell>
        </row>
        <row r="42">
          <cell r="A42" t="str">
            <v>NG Structuring (McMichael)</v>
          </cell>
        </row>
        <row r="43">
          <cell r="A43" t="str">
            <v>NG Fundamentals (Gaskill)</v>
          </cell>
        </row>
        <row r="44">
          <cell r="A44" t="str">
            <v>Management</v>
          </cell>
        </row>
        <row r="46">
          <cell r="A46" t="str">
            <v>Natural Gas Trading (Zufferli)</v>
          </cell>
        </row>
        <row r="47">
          <cell r="A47" t="str">
            <v>Natural Gas Origination (LeDain)</v>
          </cell>
        </row>
        <row r="48">
          <cell r="A48" t="str">
            <v>Finance (Kitagawa)</v>
          </cell>
        </row>
        <row r="49">
          <cell r="A49" t="str">
            <v>Alberta Power Trading (Zufferli)</v>
          </cell>
        </row>
        <row r="50">
          <cell r="A50" t="str">
            <v>Alberta Power Orig (Davies)</v>
          </cell>
        </row>
        <row r="51">
          <cell r="A51" t="str">
            <v>Ontario Power (Devries)</v>
          </cell>
        </row>
        <row r="52">
          <cell r="A52" t="str">
            <v>Executive (Milnthorp)</v>
          </cell>
        </row>
        <row r="54">
          <cell r="A54" t="str">
            <v>Upstream Products (Mrha)</v>
          </cell>
        </row>
        <row r="55">
          <cell r="A55" t="str">
            <v>Bridgeline (Redmond)</v>
          </cell>
        </row>
        <row r="56">
          <cell r="A56" t="str">
            <v>HPL (Redmond)</v>
          </cell>
        </row>
        <row r="57">
          <cell r="A57" t="str">
            <v>Mexico (Irvin/Williams)</v>
          </cell>
        </row>
        <row r="58">
          <cell r="A58" t="str">
            <v>Energy Capital Svcs (Thompson/Josey)</v>
          </cell>
        </row>
        <row r="59">
          <cell r="A59" t="str">
            <v>Mariner</v>
          </cell>
        </row>
        <row r="60">
          <cell r="A60" t="str">
            <v>Asset Marketing (D. Miller)</v>
          </cell>
        </row>
        <row r="61">
          <cell r="A61" t="str">
            <v>Sold Peakers</v>
          </cell>
        </row>
        <row r="62">
          <cell r="A62" t="str">
            <v>Cross Commodity (Lavorato)</v>
          </cell>
        </row>
        <row r="63">
          <cell r="A63" t="str">
            <v>Office of the Chairman (Lavorato/Kitchen)</v>
          </cell>
        </row>
        <row r="64">
          <cell r="A64" t="str">
            <v>TVA Settlement</v>
          </cell>
        </row>
        <row r="65">
          <cell r="A65" t="str">
            <v>Other *</v>
          </cell>
        </row>
        <row r="83">
          <cell r="A83" t="str">
            <v>Prepay Expenses</v>
          </cell>
        </row>
        <row r="84">
          <cell r="A84" t="str">
            <v>U.S. Drift</v>
          </cell>
        </row>
        <row r="85">
          <cell r="A85" t="str">
            <v>Facility Costs</v>
          </cell>
        </row>
        <row r="86">
          <cell r="A86" t="str">
            <v>Capital Charge Offset</v>
          </cell>
        </row>
      </sheetData>
      <sheetData sheetId="2"/>
      <sheetData sheetId="3"/>
      <sheetData sheetId="4"/>
      <sheetData sheetId="5"/>
      <sheetData sheetId="6"/>
      <sheetData sheetId="7">
        <row r="61">
          <cell r="A61" t="str">
            <v>Principal Investing (Miller)</v>
          </cell>
        </row>
        <row r="62">
          <cell r="A62" t="str">
            <v>Corporate Development (Detmering)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3" min="3" style="2" width="8.7"/>
    <col collapsed="false" customWidth="true" hidden="false" outlineLevel="0" max="4" min="4" style="1" width="8.7"/>
    <col collapsed="false" customWidth="true" hidden="false" outlineLevel="0" max="5" min="5" style="1" width="8.56"/>
    <col collapsed="false" customWidth="true" hidden="false" outlineLevel="0" max="6" min="6" style="3" width="9.28"/>
    <col collapsed="false" customWidth="true" hidden="false" outlineLevel="0" max="8" min="7" style="3" width="8.7"/>
    <col collapsed="false" customWidth="true" hidden="false" outlineLevel="0" max="9" min="9" style="3" width="8.85"/>
    <col collapsed="false" customWidth="true" hidden="false" outlineLevel="0" max="10" min="10" style="1" width="0.85"/>
    <col collapsed="false" customWidth="true" hidden="false" outlineLevel="0" max="11" min="11" style="1" width="8.7"/>
    <col collapsed="false" customWidth="true" hidden="false" outlineLevel="0" max="15" min="12" style="1" width="7.7"/>
    <col collapsed="false" customWidth="true" hidden="false" outlineLevel="0" max="17" min="16" style="1" width="8.7"/>
    <col collapsed="false" customWidth="true" hidden="false" outlineLevel="0" max="18" min="18" style="1" width="0.85"/>
    <col collapsed="false" customWidth="false" hidden="false" outlineLevel="0" max="257" min="19" style="1" width="9.14"/>
  </cols>
  <sheetData>
    <row r="1" customFormat="false" ht="9.95" hidden="false" customHeight="true" outlineLevel="0" collapsed="false">
      <c r="A1" s="0"/>
      <c r="B1" s="0"/>
      <c r="C1" s="4"/>
      <c r="D1" s="0"/>
      <c r="E1" s="0"/>
      <c r="F1" s="5"/>
      <c r="G1" s="5"/>
      <c r="H1" s="5"/>
      <c r="I1" s="5"/>
      <c r="J1" s="0"/>
      <c r="K1" s="0"/>
      <c r="L1" s="0"/>
      <c r="M1" s="0"/>
      <c r="N1" s="0"/>
      <c r="O1" s="0"/>
      <c r="P1" s="0"/>
      <c r="Q1" s="0"/>
      <c r="R1" s="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9.25" hidden="false" customHeight="true" outlineLevel="0" collapsed="false">
      <c r="A2" s="8" t="s">
        <v>0</v>
      </c>
      <c r="B2" s="8"/>
      <c r="C2" s="8"/>
      <c r="D2" s="8"/>
      <c r="E2" s="8"/>
      <c r="F2" s="8"/>
      <c r="G2" s="8"/>
      <c r="H2" s="8"/>
      <c r="I2" s="8"/>
      <c r="J2" s="9"/>
      <c r="K2" s="9"/>
      <c r="L2" s="9"/>
      <c r="M2" s="9"/>
      <c r="N2" s="9"/>
      <c r="O2" s="9"/>
      <c r="P2" s="9"/>
      <c r="Q2" s="10"/>
      <c r="R2" s="1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true" outlineLevel="0" collapsed="false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0"/>
      <c r="K3" s="0"/>
      <c r="L3" s="0"/>
      <c r="M3" s="0"/>
      <c r="N3" s="0"/>
      <c r="O3" s="0"/>
      <c r="P3" s="0"/>
      <c r="Q3" s="7"/>
      <c r="R3" s="11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15.75" hidden="false" customHeight="true" outlineLevel="0" collapsed="false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0"/>
      <c r="K4" s="0"/>
      <c r="L4" s="0"/>
      <c r="M4" s="0"/>
      <c r="N4" s="0"/>
      <c r="O4" s="0"/>
      <c r="P4" s="0"/>
      <c r="Q4" s="7"/>
      <c r="R4" s="11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5.75" hidden="false" customHeight="true" outlineLevel="0" collapsed="false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0"/>
      <c r="K5" s="0"/>
      <c r="L5" s="0"/>
      <c r="M5" s="0"/>
      <c r="N5" s="0"/>
      <c r="O5" s="0"/>
      <c r="P5" s="0"/>
      <c r="Q5" s="7"/>
      <c r="R5" s="11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0"/>
      <c r="B6" s="0"/>
      <c r="C6" s="4"/>
      <c r="D6" s="0"/>
      <c r="E6" s="0"/>
      <c r="F6" s="5"/>
      <c r="G6" s="5"/>
      <c r="H6" s="5"/>
      <c r="I6" s="5"/>
      <c r="J6" s="0"/>
      <c r="K6" s="0"/>
      <c r="L6" s="0"/>
      <c r="M6" s="0"/>
      <c r="N6" s="0"/>
      <c r="O6" s="0"/>
      <c r="P6" s="0"/>
      <c r="Q6" s="0"/>
      <c r="R6" s="13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4" t="s">
        <v>4</v>
      </c>
      <c r="B7" s="15"/>
      <c r="C7" s="16" t="s">
        <v>5</v>
      </c>
      <c r="D7" s="16"/>
      <c r="E7" s="16"/>
      <c r="F7" s="16"/>
      <c r="G7" s="17" t="s">
        <v>6</v>
      </c>
      <c r="H7" s="17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" hidden="false" customHeight="true" outlineLevel="0" collapsed="false">
      <c r="A8" s="14"/>
      <c r="B8" s="19"/>
      <c r="C8" s="16"/>
      <c r="D8" s="16"/>
      <c r="E8" s="16"/>
      <c r="F8" s="16"/>
      <c r="G8" s="17"/>
      <c r="H8" s="17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42.75" hidden="false" customHeight="true" outlineLevel="0" collapsed="false">
      <c r="A9" s="20"/>
      <c r="B9" s="21"/>
      <c r="C9" s="22" t="s">
        <v>7</v>
      </c>
      <c r="D9" s="23" t="s">
        <v>8</v>
      </c>
      <c r="E9" s="24" t="s">
        <v>9</v>
      </c>
      <c r="F9" s="25" t="s">
        <v>10</v>
      </c>
      <c r="G9" s="26" t="s">
        <v>11</v>
      </c>
      <c r="H9" s="25" t="s">
        <v>12</v>
      </c>
      <c r="I9" s="27" t="s">
        <v>13</v>
      </c>
    </row>
    <row r="10" customFormat="false" ht="12.75" hidden="false" customHeight="true" outlineLevel="0" collapsed="false">
      <c r="A10" s="28" t="str">
        <f aca="false">'[1]QTD Mgmt Summary'!A9</f>
        <v>Northeast Trading (Davis)</v>
      </c>
      <c r="B10" s="29"/>
      <c r="C10" s="30" t="n">
        <f aca="false">GrossMargin!C10-Expenses!C10-'Cap Charge'!C10</f>
        <v>28657</v>
      </c>
      <c r="D10" s="30" t="n">
        <f aca="false">GrossMargin!D10-Expenses!D10-'Cap Charge'!D10</f>
        <v>123969</v>
      </c>
      <c r="E10" s="30" t="n">
        <f aca="false">GrossMargin!E10-Expenses!E10-'Cap Charge'!E10</f>
        <v>15486</v>
      </c>
      <c r="F10" s="30" t="n">
        <f aca="false">GrossMargin!F10-Expenses!F10-'Cap Charge'!F10</f>
        <v>11655</v>
      </c>
      <c r="G10" s="31" t="n">
        <f aca="false">GrossMargin!G10-Expenses!G10-'Cap Charge'!G10</f>
        <v>179767</v>
      </c>
      <c r="H10" s="32" t="n">
        <f aca="false">GrossMargin!H10-Expenses!H10-'Cap Charge'!H10</f>
        <v>46691</v>
      </c>
      <c r="I10" s="33" t="n">
        <f aca="false">G10-H10</f>
        <v>133076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2.75" hidden="false" customHeight="true" outlineLevel="0" collapsed="false">
      <c r="A11" s="28" t="str">
        <f aca="false">'[1]QTD Mgmt Summary'!A10</f>
        <v>Northeast Origination (Llodra)</v>
      </c>
      <c r="B11" s="29"/>
      <c r="C11" s="35" t="n">
        <f aca="false">GrossMargin!C11-Expenses!C11-'Cap Charge'!C11</f>
        <v>9142</v>
      </c>
      <c r="D11" s="2" t="n">
        <f aca="false">GrossMargin!D11-Expenses!D11-'Cap Charge'!D11</f>
        <v>-722</v>
      </c>
      <c r="E11" s="2" t="n">
        <f aca="false">GrossMargin!E11-Expenses!E11-'Cap Charge'!E11</f>
        <v>-261</v>
      </c>
      <c r="F11" s="2" t="n">
        <f aca="false">GrossMargin!F11-Expenses!F11-'Cap Charge'!F11</f>
        <v>-999</v>
      </c>
      <c r="G11" s="35" t="n">
        <f aca="false">GrossMargin!G11-Expenses!G11-'Cap Charge'!G11</f>
        <v>7160</v>
      </c>
      <c r="H11" s="36" t="n">
        <f aca="false">GrossMargin!H11-Expenses!H11-'Cap Charge'!H11</f>
        <v>25895</v>
      </c>
      <c r="I11" s="37" t="n">
        <f aca="false">G11-H11</f>
        <v>-18735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12.75" hidden="false" customHeight="true" outlineLevel="0" collapsed="false">
      <c r="A12" s="28" t="str">
        <f aca="false">'[1]QTD Mgmt Summary'!A11</f>
        <v>Midwest Trading (Sturm)</v>
      </c>
      <c r="B12" s="38"/>
      <c r="C12" s="39" t="n">
        <f aca="false">GrossMargin!C12-Expenses!C12-'Cap Charge'!C12</f>
        <v>300</v>
      </c>
      <c r="D12" s="2" t="n">
        <f aca="false">GrossMargin!D12-Expenses!D12-'Cap Charge'!D12</f>
        <v>124589</v>
      </c>
      <c r="E12" s="2" t="n">
        <f aca="false">GrossMargin!E12-Expenses!E12-'Cap Charge'!E12</f>
        <v>-31488</v>
      </c>
      <c r="F12" s="40" t="n">
        <f aca="false">GrossMargin!F12-Expenses!F12-'Cap Charge'!F12</f>
        <v>12000</v>
      </c>
      <c r="G12" s="39" t="n">
        <f aca="false">GrossMargin!G12-Expenses!G12-'Cap Charge'!G12</f>
        <v>105401</v>
      </c>
      <c r="H12" s="41" t="n">
        <f aca="false">GrossMargin!H12-Expenses!H12-'Cap Charge'!H12</f>
        <v>47820</v>
      </c>
      <c r="I12" s="37" t="n">
        <f aca="false">G12-H12</f>
        <v>57581</v>
      </c>
    </row>
    <row r="13" customFormat="false" ht="12.75" hidden="false" customHeight="true" outlineLevel="0" collapsed="false">
      <c r="A13" s="28" t="str">
        <f aca="false">'[1]QTD Mgmt Summary'!A12</f>
        <v>Midwest Origination (Baughman)</v>
      </c>
      <c r="B13" s="38"/>
      <c r="C13" s="39" t="n">
        <f aca="false">GrossMargin!C13-Expenses!C13-'Cap Charge'!C13</f>
        <v>1317</v>
      </c>
      <c r="D13" s="2" t="n">
        <f aca="false">GrossMargin!D13-Expenses!D13-'Cap Charge'!D13</f>
        <v>2684</v>
      </c>
      <c r="E13" s="2" t="n">
        <f aca="false">GrossMargin!E13-Expenses!E13-'Cap Charge'!E13</f>
        <v>-50</v>
      </c>
      <c r="F13" s="40" t="n">
        <f aca="false">GrossMargin!F13-Expenses!F13-'Cap Charge'!F13</f>
        <v>-933</v>
      </c>
      <c r="G13" s="39" t="n">
        <f aca="false">GrossMargin!G13-Expenses!G13-'Cap Charge'!G13</f>
        <v>3018</v>
      </c>
      <c r="H13" s="41" t="n">
        <f aca="false">GrossMargin!H13-Expenses!H13-'Cap Charge'!H13</f>
        <v>26105</v>
      </c>
      <c r="I13" s="37" t="n">
        <f aca="false">G13-H13</f>
        <v>-23087</v>
      </c>
    </row>
    <row r="14" customFormat="false" ht="12.75" hidden="false" customHeight="true" outlineLevel="0" collapsed="false">
      <c r="A14" s="28" t="str">
        <f aca="false">'[1]QTD Mgmt Summary'!A13</f>
        <v>Southeast Trading (Carson) </v>
      </c>
      <c r="B14" s="38"/>
      <c r="C14" s="39" t="n">
        <f aca="false">GrossMargin!C14-Expenses!C14-'Cap Charge'!C14</f>
        <v>9368</v>
      </c>
      <c r="D14" s="2" t="n">
        <f aca="false">GrossMargin!D14-Expenses!D14-'Cap Charge'!D14</f>
        <v>487</v>
      </c>
      <c r="E14" s="2" t="n">
        <f aca="false">GrossMargin!E14-Expenses!E14-'Cap Charge'!E14</f>
        <v>-3216.911</v>
      </c>
      <c r="F14" s="40" t="n">
        <f aca="false">GrossMargin!F14-Expenses!F14-'Cap Charge'!F14</f>
        <v>7025</v>
      </c>
      <c r="G14" s="39" t="n">
        <f aca="false">GrossMargin!G14-Expenses!G14-'Cap Charge'!G14</f>
        <v>13663.089</v>
      </c>
      <c r="H14" s="41" t="n">
        <f aca="false">GrossMargin!H14-Expenses!H14-'Cap Charge'!H14</f>
        <v>48107</v>
      </c>
      <c r="I14" s="37" t="n">
        <f aca="false">G14-H14</f>
        <v>-34443.911</v>
      </c>
    </row>
    <row r="15" customFormat="false" ht="12.75" hidden="false" customHeight="true" outlineLevel="0" collapsed="false">
      <c r="A15" s="28" t="str">
        <f aca="false">'[1]QTD Mgmt Summary'!A14</f>
        <v>Southeast Orig (Kroll) </v>
      </c>
      <c r="B15" s="38"/>
      <c r="C15" s="39" t="n">
        <f aca="false">GrossMargin!C15-Expenses!C15-'Cap Charge'!C15</f>
        <v>7101</v>
      </c>
      <c r="D15" s="2" t="n">
        <f aca="false">GrossMargin!D15-Expenses!D15-'Cap Charge'!D15</f>
        <v>-976</v>
      </c>
      <c r="E15" s="2" t="n">
        <f aca="false">GrossMargin!E15-Expenses!E15-'Cap Charge'!E15</f>
        <v>792</v>
      </c>
      <c r="F15" s="40" t="n">
        <f aca="false">GrossMargin!F15-Expenses!F15-'Cap Charge'!F15</f>
        <v>-952</v>
      </c>
      <c r="G15" s="39" t="n">
        <f aca="false">GrossMargin!G15-Expenses!G15-'Cap Charge'!G15</f>
        <v>5965</v>
      </c>
      <c r="H15" s="41" t="n">
        <f aca="false">GrossMargin!H15-Expenses!H15-'Cap Charge'!H15</f>
        <v>26205</v>
      </c>
      <c r="I15" s="37" t="n">
        <f aca="false">G15-H15</f>
        <v>-20240</v>
      </c>
    </row>
    <row r="16" customFormat="false" ht="12.75" hidden="false" customHeight="true" outlineLevel="0" collapsed="false">
      <c r="A16" s="28" t="str">
        <f aca="false">'[1]QTD Mgmt Summary'!A15</f>
        <v>ERCOT Trading (Curry)</v>
      </c>
      <c r="B16" s="38"/>
      <c r="C16" s="39" t="n">
        <f aca="false">GrossMargin!C16-Expenses!C16-'Cap Charge'!C16</f>
        <v>2852</v>
      </c>
      <c r="D16" s="2" t="n">
        <f aca="false">GrossMargin!D16-Expenses!D16-'Cap Charge'!D16</f>
        <v>2601</v>
      </c>
      <c r="E16" s="2" t="n">
        <f aca="false">GrossMargin!E16-Expenses!E16-'Cap Charge'!E16</f>
        <v>20878</v>
      </c>
      <c r="F16" s="40" t="n">
        <f aca="false">GrossMargin!F16-Expenses!F16-'Cap Charge'!F16</f>
        <v>4175</v>
      </c>
      <c r="G16" s="39" t="n">
        <f aca="false">GrossMargin!G16-Expenses!G16-'Cap Charge'!G16</f>
        <v>30506</v>
      </c>
      <c r="H16" s="41" t="n">
        <f aca="false">GrossMargin!H16-Expenses!H16-'Cap Charge'!H16</f>
        <v>16620</v>
      </c>
      <c r="I16" s="37" t="n">
        <f aca="false">G16-H16</f>
        <v>13886</v>
      </c>
    </row>
    <row r="17" customFormat="false" ht="12.75" hidden="false" customHeight="true" outlineLevel="0" collapsed="false">
      <c r="A17" s="28" t="str">
        <f aca="false">'[1]QTD Mgmt Summary'!A16</f>
        <v>ERCOT Orig (Curry/Smith)</v>
      </c>
      <c r="B17" s="38"/>
      <c r="C17" s="39" t="n">
        <f aca="false">GrossMargin!C17-Expenses!C17-'Cap Charge'!C17</f>
        <v>-218</v>
      </c>
      <c r="D17" s="2" t="n">
        <f aca="false">GrossMargin!D17-Expenses!D17-'Cap Charge'!D17</f>
        <v>2066</v>
      </c>
      <c r="E17" s="2" t="n">
        <f aca="false">GrossMargin!E17-Expenses!E17-'Cap Charge'!E17</f>
        <v>17849</v>
      </c>
      <c r="F17" s="40" t="n">
        <f aca="false">GrossMargin!F17-Expenses!F17-'Cap Charge'!F17</f>
        <v>-727</v>
      </c>
      <c r="G17" s="39" t="n">
        <f aca="false">GrossMargin!G17-Expenses!G17-'Cap Charge'!G17</f>
        <v>18970</v>
      </c>
      <c r="H17" s="41" t="n">
        <f aca="false">GrossMargin!H17-Expenses!H17-'Cap Charge'!H17</f>
        <v>14422</v>
      </c>
      <c r="I17" s="37" t="n">
        <f aca="false">G17-H17</f>
        <v>4548</v>
      </c>
    </row>
    <row r="18" customFormat="false" ht="12.75" hidden="false" customHeight="true" outlineLevel="0" collapsed="false">
      <c r="A18" s="28" t="str">
        <f aca="false">'[1]QTD Mgmt Summary'!A17</f>
        <v>Options (Arora)</v>
      </c>
      <c r="B18" s="38"/>
      <c r="C18" s="39" t="n">
        <f aca="false">GrossMargin!C18-Expenses!C18-'Cap Charge'!C18</f>
        <v>-54</v>
      </c>
      <c r="D18" s="2" t="n">
        <f aca="false">GrossMargin!D18-Expenses!D18-'Cap Charge'!D18</f>
        <v>21903</v>
      </c>
      <c r="E18" s="2" t="n">
        <f aca="false">GrossMargin!E18-Expenses!E18-'Cap Charge'!E18</f>
        <v>1539</v>
      </c>
      <c r="F18" s="40" t="n">
        <f aca="false">GrossMargin!F18-Expenses!F18-'Cap Charge'!F18</f>
        <v>0</v>
      </c>
      <c r="G18" s="39" t="n">
        <f aca="false">GrossMargin!G18-Expenses!G18-'Cap Charge'!G18</f>
        <v>23388</v>
      </c>
      <c r="H18" s="41" t="n">
        <f aca="false">GrossMargin!H18-Expenses!H18-'Cap Charge'!H18</f>
        <v>0</v>
      </c>
      <c r="I18" s="37" t="n">
        <f aca="false">G18-H18</f>
        <v>23388</v>
      </c>
    </row>
    <row r="19" customFormat="false" ht="12.75" hidden="false" customHeight="true" outlineLevel="0" collapsed="false">
      <c r="A19" s="28" t="str">
        <f aca="false">'[1]QTD Mgmt Summary'!A18</f>
        <v>Management  Book (Presto)</v>
      </c>
      <c r="B19" s="38"/>
      <c r="C19" s="39" t="n">
        <f aca="false">GrossMargin!C19-Expenses!C19-'Cap Charge'!C19</f>
        <v>-5638</v>
      </c>
      <c r="D19" s="2" t="n">
        <f aca="false">GrossMargin!D19-Expenses!D19-'Cap Charge'!D19</f>
        <v>77970</v>
      </c>
      <c r="E19" s="2" t="n">
        <f aca="false">GrossMargin!E19-Expenses!E19-'Cap Charge'!E19</f>
        <v>-36856</v>
      </c>
      <c r="F19" s="40" t="n">
        <f aca="false">GrossMargin!F19-Expenses!F19-'Cap Charge'!F19</f>
        <v>-1372</v>
      </c>
      <c r="G19" s="39" t="n">
        <f aca="false">GrossMargin!G19-Expenses!G19-'Cap Charge'!G19</f>
        <v>34104</v>
      </c>
      <c r="H19" s="41" t="n">
        <f aca="false">GrossMargin!H19-Expenses!H19-'Cap Charge'!H19</f>
        <v>-5916</v>
      </c>
      <c r="I19" s="37" t="n">
        <f aca="false">G19-H19</f>
        <v>40020</v>
      </c>
    </row>
    <row r="20" customFormat="false" ht="12.75" hidden="false" customHeight="true" outlineLevel="0" collapsed="false">
      <c r="A20" s="28" t="str">
        <f aca="false">'[1]QTD Mgmt Summary'!A19</f>
        <v>Services (Will)</v>
      </c>
      <c r="B20" s="38"/>
      <c r="C20" s="39" t="n">
        <f aca="false">GrossMargin!C20-Expenses!C20-'Cap Charge'!C20</f>
        <v>0</v>
      </c>
      <c r="D20" s="2" t="n">
        <f aca="false">GrossMargin!D20-Expenses!D20-'Cap Charge'!D20</f>
        <v>1078</v>
      </c>
      <c r="E20" s="2" t="n">
        <f aca="false">GrossMargin!E20-Expenses!E20-'Cap Charge'!E20</f>
        <v>48</v>
      </c>
      <c r="F20" s="40" t="n">
        <f aca="false">GrossMargin!F20-Expenses!F20-'Cap Charge'!F20</f>
        <v>0</v>
      </c>
      <c r="G20" s="39" t="n">
        <f aca="false">GrossMargin!G20-Expenses!G20-'Cap Charge'!G20</f>
        <v>1126</v>
      </c>
      <c r="H20" s="41" t="n">
        <f aca="false">GrossMargin!H20-Expenses!H20-'Cap Charge'!H20</f>
        <v>0</v>
      </c>
      <c r="I20" s="37" t="n">
        <f aca="false">G20-H20</f>
        <v>1126</v>
      </c>
    </row>
    <row r="21" customFormat="false" ht="12.75" hidden="false" customHeight="true" outlineLevel="0" collapsed="false">
      <c r="A21" s="28" t="str">
        <f aca="false">'[1]QTD Mgmt Summary'!A20</f>
        <v>Development (Jacoby)</v>
      </c>
      <c r="B21" s="38"/>
      <c r="C21" s="39" t="n">
        <f aca="false">GrossMargin!C21-Expenses!C21-'Cap Charge'!C21</f>
        <v>3703</v>
      </c>
      <c r="D21" s="2" t="n">
        <f aca="false">GrossMargin!D21-Expenses!D21-'Cap Charge'!D21</f>
        <v>6094</v>
      </c>
      <c r="E21" s="2" t="n">
        <f aca="false">GrossMargin!E21-Expenses!E21-'Cap Charge'!E21</f>
        <v>234.725</v>
      </c>
      <c r="F21" s="40" t="n">
        <f aca="false">GrossMargin!F21-Expenses!F21-'Cap Charge'!F21</f>
        <v>3502</v>
      </c>
      <c r="G21" s="39" t="n">
        <f aca="false">GrossMargin!G21-Expenses!G21-'Cap Charge'!G21</f>
        <v>13533.725</v>
      </c>
      <c r="H21" s="41" t="n">
        <f aca="false">GrossMargin!H21-Expenses!H21-'Cap Charge'!H21</f>
        <v>14630</v>
      </c>
      <c r="I21" s="37" t="n">
        <f aca="false">G21-H21</f>
        <v>-1096.275</v>
      </c>
    </row>
    <row r="22" customFormat="false" ht="12.75" hidden="false" customHeight="true" outlineLevel="0" collapsed="false">
      <c r="A22" s="28" t="str">
        <f aca="false">'[1]QTD Mgmt Summary'!A21</f>
        <v>Generation Investments (Duran)</v>
      </c>
      <c r="B22" s="38"/>
      <c r="C22" s="39" t="n">
        <f aca="false">GrossMargin!C22-Expenses!C22-'Cap Charge'!C22</f>
        <v>-10674</v>
      </c>
      <c r="D22" s="2" t="n">
        <f aca="false">GrossMargin!D22-Expenses!D22-'Cap Charge'!D22</f>
        <v>-10551</v>
      </c>
      <c r="E22" s="2" t="n">
        <f aca="false">GrossMargin!E22-Expenses!E22-'Cap Charge'!E22</f>
        <v>-24616</v>
      </c>
      <c r="F22" s="40" t="n">
        <f aca="false">GrossMargin!F22-Expenses!F22-'Cap Charge'!F22</f>
        <v>1916</v>
      </c>
      <c r="G22" s="39" t="n">
        <f aca="false">GrossMargin!G22-Expenses!G22-'Cap Charge'!G22</f>
        <v>-43925</v>
      </c>
      <c r="H22" s="41" t="n">
        <f aca="false">GrossMargin!H22-Expenses!H22-'Cap Charge'!H22</f>
        <v>9134</v>
      </c>
      <c r="I22" s="37" t="n">
        <f aca="false">G22-H22</f>
        <v>-53059</v>
      </c>
    </row>
    <row r="23" customFormat="false" ht="12.75" hidden="false" customHeight="true" outlineLevel="0" collapsed="false">
      <c r="A23" s="28" t="str">
        <f aca="false">'[1]QTD Mgmt Summary'!A22</f>
        <v>Structuring/Fundamentals (Meyn/Will)</v>
      </c>
      <c r="B23" s="38"/>
      <c r="C23" s="39" t="n">
        <f aca="false">GrossMargin!C23-Expenses!C23-'Cap Charge'!C23</f>
        <v>-1109</v>
      </c>
      <c r="D23" s="2" t="n">
        <f aca="false">GrossMargin!D23-Expenses!D23-'Cap Charge'!D23</f>
        <v>-1131</v>
      </c>
      <c r="E23" s="2" t="n">
        <f aca="false">GrossMargin!E23-Expenses!E23-'Cap Charge'!E23</f>
        <v>-1714</v>
      </c>
      <c r="F23" s="40" t="n">
        <f aca="false">GrossMargin!F23-Expenses!F23-'Cap Charge'!F23</f>
        <v>-1404</v>
      </c>
      <c r="G23" s="42" t="n">
        <f aca="false">GrossMargin!G23-Expenses!G23-'Cap Charge'!G23</f>
        <v>-5358</v>
      </c>
      <c r="H23" s="43" t="n">
        <f aca="false">GrossMargin!H23-Expenses!H23-'Cap Charge'!H23</f>
        <v>-5740</v>
      </c>
      <c r="I23" s="37" t="n">
        <f aca="false">G23-H23</f>
        <v>382</v>
      </c>
    </row>
    <row r="24" customFormat="false" ht="12.75" hidden="false" customHeight="true" outlineLevel="0" collapsed="false">
      <c r="A24" s="44" t="s">
        <v>14</v>
      </c>
      <c r="B24" s="45"/>
      <c r="C24" s="46" t="n">
        <f aca="false">SUM(C10:C23)</f>
        <v>44747</v>
      </c>
      <c r="D24" s="47" t="n">
        <f aca="false">SUM(D10:D23)</f>
        <v>350061</v>
      </c>
      <c r="E24" s="47" t="n">
        <f aca="false">SUM(E10:E23)</f>
        <v>-41375.186</v>
      </c>
      <c r="F24" s="48" t="n">
        <f aca="false">SUM(F10:F23)</f>
        <v>33886</v>
      </c>
      <c r="G24" s="49" t="n">
        <f aca="false">SUM(G10:G23)</f>
        <v>387318.814</v>
      </c>
      <c r="H24" s="50" t="n">
        <f aca="false">SUM(H10:H23)</f>
        <v>263973</v>
      </c>
      <c r="I24" s="51" t="n">
        <f aca="false">SUM(I10:I23)</f>
        <v>123345.814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</row>
    <row r="25" customFormat="false" ht="12.75" hidden="false" customHeight="true" outlineLevel="0" collapsed="false">
      <c r="A25" s="28" t="str">
        <f aca="false">'[1]QTD Mgmt Summary'!A24</f>
        <v>Trading (Belden)</v>
      </c>
      <c r="B25" s="19"/>
      <c r="C25" s="35" t="n">
        <f aca="false">GrossMargin!C25-Expenses!C25-'Cap Charge'!C25</f>
        <v>356341</v>
      </c>
      <c r="D25" s="40" t="n">
        <f aca="false">GrossMargin!D25-Expenses!D25-'Cap Charge'!D25</f>
        <v>210541</v>
      </c>
      <c r="E25" s="2" t="n">
        <f aca="false">GrossMargin!E25-Expenses!E25-'Cap Charge'!E25</f>
        <v>148557</v>
      </c>
      <c r="F25" s="40" t="n">
        <f aca="false">GrossMargin!F25-Expenses!F25-'Cap Charge'!F25</f>
        <v>59914</v>
      </c>
      <c r="G25" s="53" t="n">
        <f aca="false">GrossMargin!G25-Expenses!G25-'Cap Charge'!G25</f>
        <v>775353</v>
      </c>
      <c r="H25" s="41" t="n">
        <f aca="false">GrossMargin!H25-Expenses!H25-'Cap Charge'!H25</f>
        <v>239368</v>
      </c>
      <c r="I25" s="54" t="n">
        <f aca="false">G25-H25</f>
        <v>535985</v>
      </c>
    </row>
    <row r="26" customFormat="false" ht="12.75" hidden="false" customHeight="true" outlineLevel="0" collapsed="false">
      <c r="A26" s="28" t="str">
        <f aca="false">'[1]QTD Mgmt Summary'!A25</f>
        <v>Services (Foster/Wolfe)</v>
      </c>
      <c r="B26" s="19"/>
      <c r="C26" s="35" t="n">
        <f aca="false">GrossMargin!C26-Expenses!C26-'Cap Charge'!C26</f>
        <v>-115</v>
      </c>
      <c r="D26" s="40" t="n">
        <f aca="false">GrossMargin!D26-Expenses!D26-'Cap Charge'!D26</f>
        <v>-120</v>
      </c>
      <c r="E26" s="2" t="n">
        <f aca="false">GrossMargin!E26-Expenses!E26-'Cap Charge'!E26</f>
        <v>-92</v>
      </c>
      <c r="F26" s="40" t="n">
        <f aca="false">GrossMargin!F26-Expenses!F26-'Cap Charge'!F26</f>
        <v>-134</v>
      </c>
      <c r="G26" s="53" t="n">
        <f aca="false">GrossMargin!G26-Expenses!G26-'Cap Charge'!G26</f>
        <v>-461</v>
      </c>
      <c r="H26" s="41" t="n">
        <f aca="false">GrossMargin!H26-Expenses!H26-'Cap Charge'!H26</f>
        <v>-548</v>
      </c>
      <c r="I26" s="54" t="n">
        <f aca="false">G26-H26</f>
        <v>87</v>
      </c>
    </row>
    <row r="27" customFormat="false" ht="12.75" hidden="false" customHeight="true" outlineLevel="0" collapsed="false">
      <c r="A27" s="28" t="str">
        <f aca="false">'[1]QTD Mgmt Summary'!A26</f>
        <v>Middle Market Originations (Foster)</v>
      </c>
      <c r="B27" s="19"/>
      <c r="C27" s="35" t="n">
        <f aca="false">GrossMargin!C27-Expenses!C27-'Cap Charge'!C27</f>
        <v>10416</v>
      </c>
      <c r="D27" s="40" t="n">
        <f aca="false">GrossMargin!D27-Expenses!D27-'Cap Charge'!D27</f>
        <v>26773</v>
      </c>
      <c r="E27" s="2" t="n">
        <f aca="false">GrossMargin!E27-Expenses!E27-'Cap Charge'!E27</f>
        <v>14560</v>
      </c>
      <c r="F27" s="40" t="n">
        <f aca="false">GrossMargin!F27-Expenses!F27-'Cap Charge'!F27</f>
        <v>-293</v>
      </c>
      <c r="G27" s="53" t="n">
        <f aca="false">GrossMargin!G27-Expenses!G27-'Cap Charge'!G27</f>
        <v>51456</v>
      </c>
      <c r="H27" s="41" t="n">
        <f aca="false">GrossMargin!H27-Expenses!H27-'Cap Charge'!H27</f>
        <v>48828</v>
      </c>
      <c r="I27" s="54" t="n">
        <f aca="false">G27-H27</f>
        <v>2628</v>
      </c>
    </row>
    <row r="28" customFormat="false" ht="12.75" hidden="false" customHeight="true" outlineLevel="0" collapsed="false">
      <c r="A28" s="28" t="str">
        <f aca="false">'[1]QTD Mgmt Summary'!A27</f>
        <v>Orginations (Thomas/McDonald)</v>
      </c>
      <c r="B28" s="19"/>
      <c r="C28" s="35" t="n">
        <f aca="false">GrossMargin!C28-Expenses!C28-'Cap Charge'!C28</f>
        <v>-1131</v>
      </c>
      <c r="D28" s="40" t="n">
        <f aca="false">GrossMargin!D28-Expenses!D28-'Cap Charge'!D28</f>
        <v>34773</v>
      </c>
      <c r="E28" s="2" t="n">
        <f aca="false">GrossMargin!E28-Expenses!E28-'Cap Charge'!E28</f>
        <v>2426.46</v>
      </c>
      <c r="F28" s="40" t="n">
        <f aca="false">GrossMargin!F28-Expenses!F28-'Cap Charge'!F28</f>
        <v>-2421</v>
      </c>
      <c r="G28" s="53" t="n">
        <f aca="false">GrossMargin!G28-Expenses!G28-'Cap Charge'!G28</f>
        <v>33647.46</v>
      </c>
      <c r="H28" s="41" t="n">
        <f aca="false">GrossMargin!H28-Expenses!H28-'Cap Charge'!H28</f>
        <v>52094</v>
      </c>
      <c r="I28" s="54" t="n">
        <f aca="false">G28-H28</f>
        <v>-18446.54</v>
      </c>
    </row>
    <row r="29" customFormat="false" ht="12.75" hidden="false" customHeight="true" outlineLevel="0" collapsed="false">
      <c r="A29" s="28" t="str">
        <f aca="false">'[1]QTD Mgmt Summary'!A28</f>
        <v>Executive (Calger)</v>
      </c>
      <c r="B29" s="19"/>
      <c r="C29" s="35" t="n">
        <f aca="false">GrossMargin!C29-Expenses!C29-'Cap Charge'!C29</f>
        <v>-5510</v>
      </c>
      <c r="D29" s="40" t="n">
        <f aca="false">GrossMargin!D29-Expenses!D29-'Cap Charge'!D29</f>
        <v>10330</v>
      </c>
      <c r="E29" s="2" t="n">
        <f aca="false">GrossMargin!E29-Expenses!E29-'Cap Charge'!E29</f>
        <v>430</v>
      </c>
      <c r="F29" s="40" t="n">
        <f aca="false">GrossMargin!F29-Expenses!F29-'Cap Charge'!F29</f>
        <v>4720</v>
      </c>
      <c r="G29" s="53" t="n">
        <f aca="false">GrossMargin!G29-Expenses!G29-'Cap Charge'!G29</f>
        <v>9970</v>
      </c>
      <c r="H29" s="41" t="n">
        <f aca="false">GrossMargin!H29-Expenses!H29-'Cap Charge'!H29</f>
        <v>11126</v>
      </c>
      <c r="I29" s="54" t="n">
        <f aca="false">G29-H29</f>
        <v>-1156</v>
      </c>
    </row>
    <row r="30" customFormat="false" ht="12.75" hidden="false" customHeight="true" outlineLevel="0" collapsed="false">
      <c r="A30" s="28" t="str">
        <f aca="false">'[1]QTD Mgmt Summary'!A29</f>
        <v>Generation (Parquet)</v>
      </c>
      <c r="B30" s="19"/>
      <c r="C30" s="35" t="n">
        <f aca="false">GrossMargin!C30-Expenses!C30-'Cap Charge'!C30</f>
        <v>-3336</v>
      </c>
      <c r="D30" s="40" t="n">
        <f aca="false">GrossMargin!D30-Expenses!D30-'Cap Charge'!D30</f>
        <v>54050</v>
      </c>
      <c r="E30" s="2" t="n">
        <f aca="false">GrossMargin!E30-Expenses!E30-'Cap Charge'!E30</f>
        <v>-4358</v>
      </c>
      <c r="F30" s="40" t="n">
        <f aca="false">GrossMargin!F30-Expenses!F30-'Cap Charge'!F30</f>
        <v>-4965</v>
      </c>
      <c r="G30" s="53" t="n">
        <f aca="false">GrossMargin!G30-Expenses!G30-'Cap Charge'!G30</f>
        <v>41391</v>
      </c>
      <c r="H30" s="41" t="n">
        <f aca="false">GrossMargin!H30-Expenses!H30-'Cap Charge'!H30</f>
        <v>30784</v>
      </c>
      <c r="I30" s="54" t="n">
        <f aca="false">G30-H30</f>
        <v>10607</v>
      </c>
    </row>
    <row r="31" customFormat="false" ht="12.75" hidden="false" customHeight="true" outlineLevel="0" collapsed="false">
      <c r="A31" s="28" t="str">
        <f aca="false">'[1]QTD Mgmt Summary'!A30</f>
        <v>Fundamentals (Heizenreiker)</v>
      </c>
      <c r="B31" s="19"/>
      <c r="C31" s="35" t="n">
        <f aca="false">GrossMargin!C31-Expenses!C31-'Cap Charge'!C31</f>
        <v>-172</v>
      </c>
      <c r="D31" s="55" t="n">
        <f aca="false">GrossMargin!D31-Expenses!D31-'Cap Charge'!D31</f>
        <v>-187</v>
      </c>
      <c r="E31" s="2" t="n">
        <f aca="false">GrossMargin!E31-Expenses!E31-'Cap Charge'!E31</f>
        <v>-246</v>
      </c>
      <c r="F31" s="40" t="n">
        <f aca="false">GrossMargin!F31-Expenses!F31-'Cap Charge'!F31</f>
        <v>-261</v>
      </c>
      <c r="G31" s="53" t="n">
        <f aca="false">GrossMargin!G31-Expenses!G31-'Cap Charge'!G31</f>
        <v>-866</v>
      </c>
      <c r="H31" s="41" t="n">
        <f aca="false">GrossMargin!H31-Expenses!H31-'Cap Charge'!H31</f>
        <v>-1080</v>
      </c>
      <c r="I31" s="54" t="n">
        <f aca="false">G31-H31</f>
        <v>214</v>
      </c>
    </row>
    <row r="32" customFormat="false" ht="12.75" hidden="false" customHeight="true" outlineLevel="0" collapsed="false">
      <c r="A32" s="44" t="s">
        <v>15</v>
      </c>
      <c r="B32" s="45"/>
      <c r="C32" s="46" t="n">
        <f aca="false">SUM(C25:C31)</f>
        <v>356493</v>
      </c>
      <c r="D32" s="47" t="n">
        <f aca="false">SUM(D25:D31)</f>
        <v>336160</v>
      </c>
      <c r="E32" s="47" t="n">
        <f aca="false">SUM(E25:E31)</f>
        <v>161277.46</v>
      </c>
      <c r="F32" s="48" t="n">
        <f aca="false">SUM(F25:F31)</f>
        <v>56560</v>
      </c>
      <c r="G32" s="49" t="n">
        <f aca="false">SUM(G25:G31)</f>
        <v>910490.46</v>
      </c>
      <c r="H32" s="50" t="n">
        <f aca="false">SUM(H25:H31)</f>
        <v>380572</v>
      </c>
      <c r="I32" s="51" t="n">
        <f aca="false">SUM(I25:I31)</f>
        <v>529918.46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  <c r="IW32" s="52"/>
    </row>
    <row r="33" customFormat="false" ht="12.75" hidden="false" customHeight="true" outlineLevel="0" collapsed="false">
      <c r="A33" s="28" t="str">
        <f aca="false">'[1]QTD Mgmt Summary'!A32</f>
        <v>East Trading (Neal)</v>
      </c>
      <c r="B33" s="19"/>
      <c r="C33" s="35" t="n">
        <f aca="false">GrossMargin!C33-Expenses!C33-'Cap Charge'!C33</f>
        <v>-59150</v>
      </c>
      <c r="D33" s="40" t="n">
        <f aca="false">GrossMargin!D33-Expenses!D33-'Cap Charge'!D33</f>
        <v>57687</v>
      </c>
      <c r="E33" s="2" t="n">
        <f aca="false">GrossMargin!E33-Expenses!E33-'Cap Charge'!E33</f>
        <v>6110</v>
      </c>
      <c r="F33" s="2" t="n">
        <f aca="false">GrossMargin!F33-Expenses!F33-'Cap Charge'!F33</f>
        <v>11524</v>
      </c>
      <c r="G33" s="56" t="n">
        <f aca="false">GrossMargin!G33-Expenses!G33-'Cap Charge'!G33</f>
        <v>16171</v>
      </c>
      <c r="H33" s="41" t="n">
        <f aca="false">GrossMargin!H33-Expenses!H33-'Cap Charge'!H33</f>
        <v>46047</v>
      </c>
      <c r="I33" s="57" t="n">
        <f aca="false">G33-H33</f>
        <v>-29876</v>
      </c>
    </row>
    <row r="34" customFormat="false" ht="12.75" hidden="false" customHeight="true" outlineLevel="0" collapsed="false">
      <c r="A34" s="28" t="str">
        <f aca="false">'[1]QTD Mgmt Summary'!A33</f>
        <v>East Origination (Vickers)</v>
      </c>
      <c r="B34" s="19"/>
      <c r="C34" s="35" t="n">
        <f aca="false">GrossMargin!C34-Expenses!C34-'Cap Charge'!C34</f>
        <v>3956</v>
      </c>
      <c r="D34" s="40" t="n">
        <f aca="false">GrossMargin!D34-Expenses!D34-'Cap Charge'!D34</f>
        <v>3142</v>
      </c>
      <c r="E34" s="2" t="n">
        <f aca="false">GrossMargin!E34-Expenses!E34-'Cap Charge'!E34</f>
        <v>34</v>
      </c>
      <c r="F34" s="2" t="n">
        <f aca="false">GrossMargin!F34-Expenses!F34-'Cap Charge'!F34</f>
        <v>-975</v>
      </c>
      <c r="G34" s="56" t="n">
        <f aca="false">GrossMargin!G34-Expenses!G34-'Cap Charge'!G34</f>
        <v>6157</v>
      </c>
      <c r="H34" s="41" t="n">
        <f aca="false">GrossMargin!H34-Expenses!H34-'Cap Charge'!H34</f>
        <v>16041</v>
      </c>
      <c r="I34" s="54" t="n">
        <f aca="false">G34-H34</f>
        <v>-9884</v>
      </c>
    </row>
    <row r="35" customFormat="false" ht="12.75" hidden="false" customHeight="true" outlineLevel="0" collapsed="false">
      <c r="A35" s="28" t="str">
        <f aca="false">'[1]QTD Mgmt Summary'!A34</f>
        <v>Central Trading (Shively)</v>
      </c>
      <c r="B35" s="19"/>
      <c r="C35" s="35" t="n">
        <f aca="false">GrossMargin!C35-Expenses!C35-'Cap Charge'!C35</f>
        <v>-4887</v>
      </c>
      <c r="D35" s="40" t="n">
        <f aca="false">GrossMargin!D35-Expenses!D35-'Cap Charge'!D35</f>
        <v>171946</v>
      </c>
      <c r="E35" s="2" t="n">
        <f aca="false">GrossMargin!E35-Expenses!E35-'Cap Charge'!E35</f>
        <v>25002.732</v>
      </c>
      <c r="F35" s="2" t="n">
        <f aca="false">GrossMargin!F35-Expenses!F35-'Cap Charge'!F35</f>
        <v>13966</v>
      </c>
      <c r="G35" s="56" t="n">
        <f aca="false">GrossMargin!G35-Expenses!G35-'Cap Charge'!G35</f>
        <v>206027.732</v>
      </c>
      <c r="H35" s="41" t="n">
        <f aca="false">GrossMargin!H35-Expenses!H35-'Cap Charge'!H35</f>
        <v>55758</v>
      </c>
      <c r="I35" s="57" t="n">
        <f aca="false">G35-H35</f>
        <v>150269.732</v>
      </c>
    </row>
    <row r="36" customFormat="false" ht="12.75" hidden="false" customHeight="true" outlineLevel="0" collapsed="false">
      <c r="A36" s="28" t="str">
        <f aca="false">'[1]QTD Mgmt Summary'!A35</f>
        <v>Central Origination (Luce)</v>
      </c>
      <c r="B36" s="19"/>
      <c r="C36" s="35" t="n">
        <f aca="false">GrossMargin!C36-Expenses!C36-'Cap Charge'!C36</f>
        <v>1030</v>
      </c>
      <c r="D36" s="40" t="n">
        <f aca="false">GrossMargin!D36-Expenses!D36-'Cap Charge'!D36</f>
        <v>387</v>
      </c>
      <c r="E36" s="2" t="n">
        <f aca="false">GrossMargin!E36-Expenses!E36-'Cap Charge'!E36</f>
        <v>1462</v>
      </c>
      <c r="F36" s="2" t="n">
        <f aca="false">GrossMargin!F36-Expenses!F36-'Cap Charge'!F36</f>
        <v>-813</v>
      </c>
      <c r="G36" s="56" t="n">
        <f aca="false">GrossMargin!G36-Expenses!G36-'Cap Charge'!G36</f>
        <v>2066</v>
      </c>
      <c r="H36" s="41" t="n">
        <f aca="false">GrossMargin!H36-Expenses!H36-'Cap Charge'!H36</f>
        <v>13585</v>
      </c>
      <c r="I36" s="54" t="n">
        <f aca="false">G36-H36</f>
        <v>-11519</v>
      </c>
    </row>
    <row r="37" customFormat="false" ht="12.75" hidden="false" customHeight="true" outlineLevel="0" collapsed="false">
      <c r="A37" s="28" t="str">
        <f aca="false">'[1]QTD Mgmt Summary'!A36</f>
        <v>Texas Trading (Martin)</v>
      </c>
      <c r="B37" s="19"/>
      <c r="C37" s="39" t="n">
        <f aca="false">GrossMargin!C37-Expenses!C37-'Cap Charge'!C37</f>
        <v>55418</v>
      </c>
      <c r="D37" s="55" t="n">
        <f aca="false">GrossMargin!D37-Expenses!D37-'Cap Charge'!D37</f>
        <v>71204</v>
      </c>
      <c r="E37" s="2" t="n">
        <f aca="false">GrossMargin!E37-Expenses!E37-'Cap Charge'!E37</f>
        <v>32331</v>
      </c>
      <c r="F37" s="2" t="n">
        <f aca="false">GrossMargin!F37-Expenses!F37-'Cap Charge'!F37</f>
        <v>8918</v>
      </c>
      <c r="G37" s="56" t="n">
        <f aca="false">GrossMargin!G37-Expenses!G37-'Cap Charge'!G37</f>
        <v>167871</v>
      </c>
      <c r="H37" s="41" t="n">
        <f aca="false">GrossMargin!H37-Expenses!H37-'Cap Charge'!H37</f>
        <v>35099</v>
      </c>
      <c r="I37" s="54" t="n">
        <f aca="false">G37-H37</f>
        <v>132772</v>
      </c>
    </row>
    <row r="38" customFormat="false" ht="12.75" hidden="false" customHeight="true" outlineLevel="0" collapsed="false">
      <c r="A38" s="28" t="str">
        <f aca="false">'[1]QTD Mgmt Summary'!A37</f>
        <v>Texas Origination (Redmond)</v>
      </c>
      <c r="B38" s="19"/>
      <c r="C38" s="39" t="n">
        <f aca="false">GrossMargin!C38-Expenses!C38-'Cap Charge'!C38</f>
        <v>0</v>
      </c>
      <c r="D38" s="55" t="n">
        <f aca="false">GrossMargin!D38-Expenses!D38-'Cap Charge'!D38</f>
        <v>0</v>
      </c>
      <c r="E38" s="2" t="n">
        <f aca="false">GrossMargin!E38-Expenses!E38-'Cap Charge'!E38</f>
        <v>-385</v>
      </c>
      <c r="F38" s="40" t="n">
        <f aca="false">GrossMargin!F38-Expenses!F38-'Cap Charge'!F38</f>
        <v>0</v>
      </c>
      <c r="G38" s="56" t="n">
        <f aca="false">GrossMargin!G38-Expenses!G38-'Cap Charge'!G38</f>
        <v>-385</v>
      </c>
      <c r="H38" s="41" t="n">
        <f aca="false">GrossMargin!H38-Expenses!H38-'Cap Charge'!H38</f>
        <v>0</v>
      </c>
      <c r="I38" s="54" t="n">
        <f aca="false">G38-H38</f>
        <v>-385</v>
      </c>
    </row>
    <row r="39" customFormat="false" ht="12.75" hidden="false" customHeight="true" outlineLevel="0" collapsed="false">
      <c r="A39" s="28" t="str">
        <f aca="false">'[1]QTD Mgmt Summary'!A38</f>
        <v>West Trading (Allen)</v>
      </c>
      <c r="B39" s="19"/>
      <c r="C39" s="39" t="n">
        <f aca="false">GrossMargin!C39-Expenses!C39-'Cap Charge'!C39</f>
        <v>342979</v>
      </c>
      <c r="D39" s="55" t="n">
        <f aca="false">GrossMargin!D39-Expenses!D39-'Cap Charge'!D39</f>
        <v>-430633</v>
      </c>
      <c r="E39" s="2" t="n">
        <f aca="false">GrossMargin!E39-Expenses!E39-'Cap Charge'!E39</f>
        <v>-135469</v>
      </c>
      <c r="F39" s="40" t="n">
        <f aca="false">GrossMargin!F39-Expenses!F39-'Cap Charge'!F39</f>
        <v>25383</v>
      </c>
      <c r="G39" s="56" t="n">
        <f aca="false">GrossMargin!G39-Expenses!G39-'Cap Charge'!G39</f>
        <v>-197740</v>
      </c>
      <c r="H39" s="41" t="n">
        <f aca="false">GrossMargin!H39-Expenses!H39-'Cap Charge'!H39</f>
        <v>15515</v>
      </c>
      <c r="I39" s="54" t="n">
        <f aca="false">G39-H39</f>
        <v>-213255</v>
      </c>
    </row>
    <row r="40" customFormat="false" ht="12.75" hidden="false" customHeight="true" outlineLevel="0" collapsed="false">
      <c r="A40" s="28" t="str">
        <f aca="false">'[1]QTD Mgmt Summary'!A39</f>
        <v>West Origination (Tycholiz)</v>
      </c>
      <c r="B40" s="19"/>
      <c r="C40" s="39" t="n">
        <f aca="false">GrossMargin!C40-Expenses!C40-'Cap Charge'!C40</f>
        <v>6693</v>
      </c>
      <c r="D40" s="55" t="n">
        <f aca="false">GrossMargin!D40-Expenses!D40-'Cap Charge'!D40</f>
        <v>32803</v>
      </c>
      <c r="E40" s="2" t="n">
        <f aca="false">GrossMargin!E40-Expenses!E40-'Cap Charge'!E40</f>
        <v>8440</v>
      </c>
      <c r="F40" s="40" t="n">
        <f aca="false">GrossMargin!F40-Expenses!F40-'Cap Charge'!F40</f>
        <v>-651</v>
      </c>
      <c r="G40" s="56" t="n">
        <f aca="false">GrossMargin!G40-Expenses!G40-'Cap Charge'!G40</f>
        <v>47285</v>
      </c>
      <c r="H40" s="41" t="n">
        <f aca="false">GrossMargin!H40-Expenses!H40-'Cap Charge'!H40</f>
        <v>103301</v>
      </c>
      <c r="I40" s="54" t="n">
        <f aca="false">G40-H40</f>
        <v>-56016</v>
      </c>
    </row>
    <row r="41" customFormat="false" ht="12.75" hidden="false" customHeight="true" outlineLevel="0" collapsed="false">
      <c r="A41" s="28" t="str">
        <f aca="false">'[1]QTD Mgmt Summary'!A40</f>
        <v>Financial Gas (Arnold)</v>
      </c>
      <c r="B41" s="19"/>
      <c r="C41" s="39" t="n">
        <f aca="false">GrossMargin!C41-Expenses!C41-'Cap Charge'!C41</f>
        <v>230438</v>
      </c>
      <c r="D41" s="55" t="n">
        <f aca="false">GrossMargin!D41-Expenses!D41-'Cap Charge'!D41</f>
        <v>399215</v>
      </c>
      <c r="E41" s="2" t="n">
        <f aca="false">GrossMargin!E41-Expenses!E41-'Cap Charge'!E41</f>
        <v>115928</v>
      </c>
      <c r="F41" s="40" t="n">
        <f aca="false">GrossMargin!F41-Expenses!F41-'Cap Charge'!F41</f>
        <v>30848</v>
      </c>
      <c r="G41" s="56" t="n">
        <f aca="false">GrossMargin!G41-Expenses!G41-'Cap Charge'!G41</f>
        <v>776429</v>
      </c>
      <c r="H41" s="41" t="n">
        <f aca="false">GrossMargin!H41-Expenses!H41-'Cap Charge'!H41</f>
        <v>123347</v>
      </c>
      <c r="I41" s="54" t="n">
        <f aca="false">G41-H41</f>
        <v>653082</v>
      </c>
    </row>
    <row r="42" customFormat="false" ht="12.75" hidden="false" customHeight="true" outlineLevel="0" collapsed="false">
      <c r="A42" s="28" t="str">
        <f aca="false">'[1]QTD Mgmt Summary'!A41</f>
        <v>Derivative Origination (Lagrasta)</v>
      </c>
      <c r="B42" s="19"/>
      <c r="C42" s="39" t="n">
        <f aca="false">GrossMargin!C42-Expenses!C42-'Cap Charge'!C42</f>
        <v>8501</v>
      </c>
      <c r="D42" s="55" t="n">
        <f aca="false">GrossMargin!D42-Expenses!D42-'Cap Charge'!D42</f>
        <v>9855</v>
      </c>
      <c r="E42" s="2" t="n">
        <f aca="false">GrossMargin!E42-Expenses!E42-'Cap Charge'!E42</f>
        <v>6819</v>
      </c>
      <c r="F42" s="40" t="n">
        <f aca="false">GrossMargin!F42-Expenses!F42-'Cap Charge'!F42</f>
        <v>5166</v>
      </c>
      <c r="G42" s="56" t="n">
        <f aca="false">GrossMargin!G42-Expenses!G42-'Cap Charge'!G42</f>
        <v>30341</v>
      </c>
      <c r="H42" s="41" t="n">
        <f aca="false">GrossMargin!H42-Expenses!H42-'Cap Charge'!H42</f>
        <v>20598</v>
      </c>
      <c r="I42" s="54" t="n">
        <f aca="false">G42-H42</f>
        <v>9743</v>
      </c>
    </row>
    <row r="43" customFormat="false" ht="12.75" hidden="false" customHeight="true" outlineLevel="0" collapsed="false">
      <c r="A43" s="28" t="str">
        <f aca="false">'[1]QTD Mgmt Summary'!A42</f>
        <v>NG Structuring (McMichael)</v>
      </c>
      <c r="B43" s="19"/>
      <c r="C43" s="39" t="n">
        <f aca="false">GrossMargin!C43-Expenses!C43-'Cap Charge'!C43</f>
        <v>-497</v>
      </c>
      <c r="D43" s="55" t="n">
        <f aca="false">GrossMargin!D43-Expenses!D43-'Cap Charge'!D43</f>
        <v>-389</v>
      </c>
      <c r="E43" s="2" t="n">
        <f aca="false">GrossMargin!E43-Expenses!E43-'Cap Charge'!E43</f>
        <v>-542</v>
      </c>
      <c r="F43" s="40" t="n">
        <f aca="false">GrossMargin!F43-Expenses!F43-'Cap Charge'!F43</f>
        <v>-676</v>
      </c>
      <c r="G43" s="56" t="n">
        <f aca="false">GrossMargin!G43-Expenses!G43-'Cap Charge'!G43</f>
        <v>-2104</v>
      </c>
      <c r="H43" s="41" t="n">
        <f aca="false">GrossMargin!H43-Expenses!H43-'Cap Charge'!H43</f>
        <v>-2738</v>
      </c>
      <c r="I43" s="54" t="n">
        <f aca="false">G43-H43</f>
        <v>634</v>
      </c>
    </row>
    <row r="44" customFormat="false" ht="12.75" hidden="false" customHeight="true" outlineLevel="0" collapsed="false">
      <c r="A44" s="28" t="str">
        <f aca="false">'[1]QTD Mgmt Summary'!A43</f>
        <v>NG Fundamentals (Gaskill)</v>
      </c>
      <c r="B44" s="19"/>
      <c r="C44" s="39" t="n">
        <f aca="false">GrossMargin!C44-Expenses!C44-'Cap Charge'!C44</f>
        <v>-272</v>
      </c>
      <c r="D44" s="55" t="n">
        <f aca="false">GrossMargin!D44-Expenses!D44-'Cap Charge'!D44</f>
        <v>-527</v>
      </c>
      <c r="E44" s="2" t="n">
        <f aca="false">GrossMargin!E44-Expenses!E44-'Cap Charge'!E44</f>
        <v>-690</v>
      </c>
      <c r="F44" s="40" t="n">
        <f aca="false">GrossMargin!F44-Expenses!F44-'Cap Charge'!F44</f>
        <v>-508</v>
      </c>
      <c r="G44" s="56" t="n">
        <f aca="false">GrossMargin!G44-Expenses!G44-'Cap Charge'!G44</f>
        <v>-1997</v>
      </c>
      <c r="H44" s="41" t="n">
        <f aca="false">GrossMargin!H44-Expenses!H44-'Cap Charge'!H44</f>
        <v>-2091</v>
      </c>
      <c r="I44" s="54" t="n">
        <f aca="false">G44-H44</f>
        <v>94</v>
      </c>
    </row>
    <row r="45" customFormat="false" ht="12.75" hidden="false" customHeight="true" outlineLevel="0" collapsed="false">
      <c r="A45" s="28" t="str">
        <f aca="false">'[1]QTD Mgmt Summary'!A44</f>
        <v>Management</v>
      </c>
      <c r="B45" s="19"/>
      <c r="C45" s="39" t="n">
        <f aca="false">GrossMargin!C45-Expenses!C45-'Cap Charge'!C45</f>
        <v>-40000</v>
      </c>
      <c r="D45" s="55" t="n">
        <f aca="false">GrossMargin!D45-Expenses!D45-'Cap Charge'!D45</f>
        <v>-207000</v>
      </c>
      <c r="E45" s="2" t="n">
        <f aca="false">GrossMargin!E45-Expenses!E45-'Cap Charge'!E45</f>
        <v>501000</v>
      </c>
      <c r="F45" s="40" t="n">
        <f aca="false">GrossMargin!F45-Expenses!F45-'Cap Charge'!F45</f>
        <v>0</v>
      </c>
      <c r="G45" s="56" t="n">
        <f aca="false">GrossMargin!G45-Expenses!G45-'Cap Charge'!G45</f>
        <v>254000</v>
      </c>
      <c r="H45" s="41" t="n">
        <f aca="false">GrossMargin!H45-Expenses!H45-'Cap Charge'!H45</f>
        <v>0</v>
      </c>
      <c r="I45" s="54" t="n">
        <f aca="false">G45-H45</f>
        <v>254000</v>
      </c>
    </row>
    <row r="46" customFormat="false" ht="12.75" hidden="false" customHeight="true" outlineLevel="0" collapsed="false">
      <c r="A46" s="44" t="s">
        <v>16</v>
      </c>
      <c r="B46" s="45"/>
      <c r="C46" s="46" t="n">
        <f aca="false">SUM(C33:C45)</f>
        <v>544209</v>
      </c>
      <c r="D46" s="47" t="n">
        <f aca="false">SUM(D33:D45)</f>
        <v>107690</v>
      </c>
      <c r="E46" s="47" t="n">
        <f aca="false">SUM(E33:E45)</f>
        <v>560040.732</v>
      </c>
      <c r="F46" s="48" t="n">
        <f aca="false">SUM(F33:F45)</f>
        <v>92182</v>
      </c>
      <c r="G46" s="49" t="n">
        <f aca="false">SUM(G33:G45)</f>
        <v>1304121.732</v>
      </c>
      <c r="H46" s="50" t="n">
        <f aca="false">SUM(H33:H45)</f>
        <v>424462</v>
      </c>
      <c r="I46" s="51" t="n">
        <f aca="false">SUM(I33:I45)</f>
        <v>879659.732</v>
      </c>
      <c r="J46" s="52"/>
      <c r="K46" s="52"/>
      <c r="L46" s="58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</row>
    <row r="47" customFormat="false" ht="12.75" hidden="false" customHeight="true" outlineLevel="0" collapsed="false">
      <c r="A47" s="28" t="str">
        <f aca="false">'[1]QTD Mgmt Summary'!A46</f>
        <v>Natural Gas Trading (Zufferli)</v>
      </c>
      <c r="B47" s="19"/>
      <c r="C47" s="35" t="n">
        <f aca="false">GrossMargin!C47-Expenses!C47-'Cap Charge'!C47</f>
        <v>-28440</v>
      </c>
      <c r="D47" s="40" t="n">
        <f aca="false">GrossMargin!D47-Expenses!D47-'Cap Charge'!D47</f>
        <v>-11914</v>
      </c>
      <c r="E47" s="2" t="n">
        <f aca="false">GrossMargin!E47-Expenses!E47-'Cap Charge'!E47</f>
        <v>-241</v>
      </c>
      <c r="F47" s="59" t="n">
        <f aca="false">GrossMargin!F47-Expenses!F47-'Cap Charge'!F47</f>
        <v>5421</v>
      </c>
      <c r="G47" s="56" t="n">
        <f aca="false">GrossMargin!G47-Expenses!G47-'Cap Charge'!G47</f>
        <v>-35174</v>
      </c>
      <c r="H47" s="41" t="n">
        <f aca="false">GrossMargin!H47-Expenses!H47-'Cap Charge'!H47</f>
        <v>22171</v>
      </c>
      <c r="I47" s="57" t="n">
        <f aca="false">G47-H47</f>
        <v>-57345</v>
      </c>
    </row>
    <row r="48" customFormat="false" ht="12.75" hidden="false" customHeight="true" outlineLevel="0" collapsed="false">
      <c r="A48" s="28" t="str">
        <f aca="false">'[1]QTD Mgmt Summary'!A47</f>
        <v>Natural Gas Origination (LeDain)</v>
      </c>
      <c r="B48" s="19"/>
      <c r="C48" s="35" t="n">
        <f aca="false">GrossMargin!C48-Expenses!C48-'Cap Charge'!C48</f>
        <v>6637</v>
      </c>
      <c r="D48" s="40" t="n">
        <f aca="false">GrossMargin!D48-Expenses!D48-'Cap Charge'!D48</f>
        <v>5117</v>
      </c>
      <c r="E48" s="2" t="n">
        <f aca="false">GrossMargin!E48-Expenses!E48-'Cap Charge'!E48</f>
        <v>1520</v>
      </c>
      <c r="F48" s="40" t="n">
        <f aca="false">GrossMargin!F48-Expenses!F48-'Cap Charge'!F48</f>
        <v>-487</v>
      </c>
      <c r="G48" s="39" t="n">
        <f aca="false">GrossMargin!G48-Expenses!G48-'Cap Charge'!G48</f>
        <v>12787</v>
      </c>
      <c r="H48" s="41" t="n">
        <f aca="false">GrossMargin!H48-Expenses!H48-'Cap Charge'!H48</f>
        <v>22567</v>
      </c>
      <c r="I48" s="54" t="n">
        <f aca="false">G48-H48</f>
        <v>-9780</v>
      </c>
    </row>
    <row r="49" customFormat="false" ht="12.75" hidden="false" customHeight="true" outlineLevel="0" collapsed="false">
      <c r="A49" s="28" t="str">
        <f aca="false">'[1]QTD Mgmt Summary'!A48</f>
        <v>Finance (Kitagawa)</v>
      </c>
      <c r="B49" s="19"/>
      <c r="C49" s="35" t="n">
        <f aca="false">GrossMargin!C49-Expenses!C49-'Cap Charge'!C49</f>
        <v>1018</v>
      </c>
      <c r="D49" s="40" t="n">
        <f aca="false">GrossMargin!D49-Expenses!D49-'Cap Charge'!D49</f>
        <v>3229</v>
      </c>
      <c r="E49" s="2" t="n">
        <f aca="false">GrossMargin!E49-Expenses!E49-'Cap Charge'!E49</f>
        <v>-417</v>
      </c>
      <c r="F49" s="59" t="n">
        <f aca="false">GrossMargin!F49-Expenses!F49-'Cap Charge'!F49</f>
        <v>4171</v>
      </c>
      <c r="G49" s="60" t="n">
        <f aca="false">GrossMargin!G49-Expenses!G49-'Cap Charge'!G49</f>
        <v>8001</v>
      </c>
      <c r="H49" s="41" t="n">
        <f aca="false">GrossMargin!H49-Expenses!H49-'Cap Charge'!H49</f>
        <v>16899</v>
      </c>
      <c r="I49" s="57" t="n">
        <f aca="false">G49-H49</f>
        <v>-8898</v>
      </c>
    </row>
    <row r="50" customFormat="false" ht="12.75" hidden="false" customHeight="true" outlineLevel="0" collapsed="false">
      <c r="A50" s="28" t="str">
        <f aca="false">'[1]QTD Mgmt Summary'!A49</f>
        <v>Alberta Power Trading (Zufferli)</v>
      </c>
      <c r="B50" s="19"/>
      <c r="C50" s="35" t="n">
        <f aca="false">GrossMargin!C50-Expenses!C50-'Cap Charge'!C50</f>
        <v>87117</v>
      </c>
      <c r="D50" s="40" t="n">
        <f aca="false">GrossMargin!D50-Expenses!D50-'Cap Charge'!D50</f>
        <v>81668</v>
      </c>
      <c r="E50" s="2" t="n">
        <f aca="false">GrossMargin!E50-Expenses!E50-'Cap Charge'!E50</f>
        <v>67393</v>
      </c>
      <c r="F50" s="40" t="n">
        <f aca="false">GrossMargin!F50-Expenses!F50-'Cap Charge'!F50</f>
        <v>16184</v>
      </c>
      <c r="G50" s="39" t="n">
        <f aca="false">GrossMargin!G50-Expenses!G50-'Cap Charge'!G50</f>
        <v>252362</v>
      </c>
      <c r="H50" s="41" t="n">
        <f aca="false">GrossMargin!H50-Expenses!H50-'Cap Charge'!H50</f>
        <v>76512</v>
      </c>
      <c r="I50" s="54" t="n">
        <f aca="false">G50-H50</f>
        <v>175850</v>
      </c>
    </row>
    <row r="51" customFormat="false" ht="12.75" hidden="false" customHeight="true" outlineLevel="0" collapsed="false">
      <c r="A51" s="28" t="str">
        <f aca="false">'[1]QTD Mgmt Summary'!A50</f>
        <v>Alberta Power Orig (Davies)</v>
      </c>
      <c r="B51" s="19"/>
      <c r="C51" s="35" t="n">
        <f aca="false">GrossMargin!C51-Expenses!C51-'Cap Charge'!C51</f>
        <v>25915</v>
      </c>
      <c r="D51" s="40" t="n">
        <f aca="false">GrossMargin!D51-Expenses!D51-'Cap Charge'!D51</f>
        <v>3243</v>
      </c>
      <c r="E51" s="2" t="n">
        <f aca="false">GrossMargin!E51-Expenses!E51-'Cap Charge'!E51</f>
        <v>50061</v>
      </c>
      <c r="F51" s="40" t="n">
        <f aca="false">GrossMargin!F51-Expenses!F51-'Cap Charge'!F51</f>
        <v>-327</v>
      </c>
      <c r="G51" s="39" t="n">
        <f aca="false">GrossMargin!G51-Expenses!G51-'Cap Charge'!G51</f>
        <v>78892</v>
      </c>
      <c r="H51" s="41" t="n">
        <f aca="false">GrossMargin!H51-Expenses!H51-'Cap Charge'!H51</f>
        <v>76192</v>
      </c>
      <c r="I51" s="54" t="n">
        <f aca="false">G51-H51</f>
        <v>2700</v>
      </c>
    </row>
    <row r="52" customFormat="false" ht="12.75" hidden="false" customHeight="true" outlineLevel="0" collapsed="false">
      <c r="A52" s="28" t="str">
        <f aca="false">'[1]QTD Mgmt Summary'!A51</f>
        <v>Ontario Power (Devries)</v>
      </c>
      <c r="B52" s="19"/>
      <c r="C52" s="35" t="n">
        <f aca="false">GrossMargin!C52-Expenses!C52-'Cap Charge'!C52</f>
        <v>-351</v>
      </c>
      <c r="D52" s="40" t="n">
        <f aca="false">GrossMargin!D52-Expenses!D52-'Cap Charge'!D52</f>
        <v>-1013</v>
      </c>
      <c r="E52" s="2" t="n">
        <f aca="false">GrossMargin!E52-Expenses!E52-'Cap Charge'!E52</f>
        <v>146</v>
      </c>
      <c r="F52" s="40" t="n">
        <f aca="false">GrossMargin!F52-Expenses!F52-'Cap Charge'!F52</f>
        <v>11574</v>
      </c>
      <c r="G52" s="39" t="n">
        <f aca="false">GrossMargin!G52-Expenses!G52-'Cap Charge'!G52</f>
        <v>10356</v>
      </c>
      <c r="H52" s="41" t="n">
        <f aca="false">GrossMargin!H52-Expenses!H52-'Cap Charge'!H52</f>
        <v>43591</v>
      </c>
      <c r="I52" s="54" t="n">
        <f aca="false">G52-H52</f>
        <v>-33235</v>
      </c>
    </row>
    <row r="53" customFormat="false" ht="12.75" hidden="false" customHeight="true" outlineLevel="0" collapsed="false">
      <c r="A53" s="28" t="str">
        <f aca="false">'[1]QTD Mgmt Summary'!A52</f>
        <v>Executive (Milnthorp)</v>
      </c>
      <c r="B53" s="19"/>
      <c r="C53" s="35" t="n">
        <f aca="false">GrossMargin!C53-Expenses!C53-'Cap Charge'!C53</f>
        <v>495</v>
      </c>
      <c r="D53" s="40" t="n">
        <f aca="false">GrossMargin!D53-Expenses!D53-'Cap Charge'!D53</f>
        <v>-396</v>
      </c>
      <c r="E53" s="2" t="n">
        <f aca="false">GrossMargin!E53-Expenses!E53-'Cap Charge'!E53</f>
        <v>-601</v>
      </c>
      <c r="F53" s="40" t="n">
        <f aca="false">GrossMargin!F53-Expenses!F53-'Cap Charge'!F53</f>
        <v>2506</v>
      </c>
      <c r="G53" s="39" t="n">
        <f aca="false">GrossMargin!G53-Expenses!G53-'Cap Charge'!G53</f>
        <v>2004</v>
      </c>
      <c r="H53" s="41" t="n">
        <f aca="false">GrossMargin!H53-Expenses!H53-'Cap Charge'!H53</f>
        <v>4745</v>
      </c>
      <c r="I53" s="54" t="n">
        <f aca="false">G53-H53</f>
        <v>-2741</v>
      </c>
    </row>
    <row r="54" customFormat="false" ht="12.75" hidden="false" customHeight="true" outlineLevel="0" collapsed="false">
      <c r="A54" s="44" t="s">
        <v>17</v>
      </c>
      <c r="B54" s="45"/>
      <c r="C54" s="46" t="n">
        <f aca="false">SUM(C47:C53)</f>
        <v>92391</v>
      </c>
      <c r="D54" s="47" t="n">
        <f aca="false">SUM(D47:D53)</f>
        <v>79934</v>
      </c>
      <c r="E54" s="47" t="n">
        <f aca="false">SUM(E47:E53)</f>
        <v>117861</v>
      </c>
      <c r="F54" s="47" t="n">
        <f aca="false">SUM(F47:F53)</f>
        <v>39042</v>
      </c>
      <c r="G54" s="46" t="n">
        <f aca="false">SUM(G47:G53)</f>
        <v>329228</v>
      </c>
      <c r="H54" s="61" t="n">
        <f aca="false">SUM(H47:H53)</f>
        <v>262677</v>
      </c>
      <c r="I54" s="62" t="n">
        <f aca="false">SUM(I47:I53)</f>
        <v>66551</v>
      </c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  <c r="IW54" s="52"/>
    </row>
    <row r="55" customFormat="false" ht="12.75" hidden="false" customHeight="true" outlineLevel="0" collapsed="false">
      <c r="A55" s="28" t="str">
        <f aca="false">'[1]QTD Mgmt Summary'!A54</f>
        <v>Upstream Products (Mrha)</v>
      </c>
      <c r="B55" s="19"/>
      <c r="C55" s="35" t="n">
        <f aca="false">GrossMargin!C55-Expenses!C55-'Cap Charge'!C55</f>
        <v>1929</v>
      </c>
      <c r="D55" s="2" t="n">
        <f aca="false">GrossMargin!D55-Expenses!D55-'Cap Charge'!D55</f>
        <v>10628</v>
      </c>
      <c r="E55" s="2" t="n">
        <f aca="false">GrossMargin!E55-Expenses!E55-'Cap Charge'!E55</f>
        <v>-3191</v>
      </c>
      <c r="F55" s="55" t="n">
        <f aca="false">GrossMargin!F55-Expenses!F55-'Cap Charge'!F55</f>
        <v>5378</v>
      </c>
      <c r="G55" s="39" t="n">
        <f aca="false">GrossMargin!G55-Expenses!G55-'Cap Charge'!G55</f>
        <v>14744</v>
      </c>
      <c r="H55" s="41" t="n">
        <f aca="false">GrossMargin!H55-Expenses!H55-'Cap Charge'!H55</f>
        <v>32187</v>
      </c>
      <c r="I55" s="54" t="n">
        <f aca="false">G55-H55</f>
        <v>-17443</v>
      </c>
    </row>
    <row r="56" customFormat="false" ht="12.75" hidden="false" customHeight="true" outlineLevel="0" collapsed="false">
      <c r="A56" s="28" t="str">
        <f aca="false">'[1]QTD Mgmt Summary'!A55</f>
        <v>Bridgeline (Redmond)</v>
      </c>
      <c r="B56" s="19"/>
      <c r="C56" s="39" t="n">
        <f aca="false">GrossMargin!C56-Expenses!C56-'Cap Charge'!C56</f>
        <v>1056</v>
      </c>
      <c r="D56" s="55" t="n">
        <f aca="false">GrossMargin!D56-Expenses!D56-'Cap Charge'!D56</f>
        <v>-8090</v>
      </c>
      <c r="E56" s="2" t="n">
        <f aca="false">GrossMargin!E56-Expenses!E56-'Cap Charge'!E56</f>
        <v>-9788.566</v>
      </c>
      <c r="F56" s="55" t="n">
        <f aca="false">GrossMargin!F56-Expenses!F56-'Cap Charge'!F56</f>
        <v>-3373</v>
      </c>
      <c r="G56" s="39" t="n">
        <f aca="false">GrossMargin!G56-Expenses!G56-'Cap Charge'!G56</f>
        <v>-20195.566</v>
      </c>
      <c r="H56" s="41" t="n">
        <f aca="false">GrossMargin!H56-Expenses!H56-'Cap Charge'!H56</f>
        <v>-13491</v>
      </c>
      <c r="I56" s="54" t="n">
        <f aca="false">G56-H56</f>
        <v>-6704.566</v>
      </c>
    </row>
    <row r="57" customFormat="false" ht="12.75" hidden="false" customHeight="true" outlineLevel="0" collapsed="false">
      <c r="A57" s="28" t="str">
        <f aca="false">'[1]QTD Mgmt Summary'!A56</f>
        <v>HPL (Redmond)</v>
      </c>
      <c r="B57" s="19"/>
      <c r="C57" s="39" t="n">
        <f aca="false">GrossMargin!C57-Expenses!C57-'Cap Charge'!C57</f>
        <v>-33259</v>
      </c>
      <c r="D57" s="55" t="n">
        <f aca="false">GrossMargin!D57-Expenses!D57-'Cap Charge'!D57</f>
        <v>-47734</v>
      </c>
      <c r="E57" s="2" t="n">
        <f aca="false">GrossMargin!E57-Expenses!E57-'Cap Charge'!E57</f>
        <v>-17139</v>
      </c>
      <c r="F57" s="55" t="n">
        <f aca="false">GrossMargin!F57-Expenses!F57-'Cap Charge'!F57</f>
        <v>1184</v>
      </c>
      <c r="G57" s="39" t="n">
        <f aca="false">GrossMargin!G57-Expenses!G57-'Cap Charge'!G57</f>
        <v>-96948</v>
      </c>
      <c r="H57" s="41" t="n">
        <f aca="false">GrossMargin!H57-Expenses!H57-'Cap Charge'!H57</f>
        <v>-91162</v>
      </c>
      <c r="I57" s="54" t="n">
        <f aca="false">G57-H57</f>
        <v>-5786</v>
      </c>
    </row>
    <row r="58" customFormat="false" ht="12.75" hidden="false" customHeight="true" outlineLevel="0" collapsed="false">
      <c r="A58" s="28" t="str">
        <f aca="false">'[1]QTD Mgmt Summary'!A57</f>
        <v>Mexico (Irvin/Williams)</v>
      </c>
      <c r="B58" s="19"/>
      <c r="C58" s="39" t="n">
        <f aca="false">GrossMargin!C58-Expenses!C58-'Cap Charge'!C58</f>
        <v>-1041</v>
      </c>
      <c r="D58" s="55" t="n">
        <f aca="false">GrossMargin!D58-Expenses!D58-'Cap Charge'!D58</f>
        <v>415</v>
      </c>
      <c r="E58" s="2" t="n">
        <f aca="false">GrossMargin!E58-Expenses!E58-'Cap Charge'!E58</f>
        <v>-294.075</v>
      </c>
      <c r="F58" s="63" t="n">
        <f aca="false">GrossMargin!F58-Expenses!F58-'Cap Charge'!F58</f>
        <v>13714</v>
      </c>
      <c r="G58" s="60" t="n">
        <f aca="false">GrossMargin!G58-Expenses!G58-'Cap Charge'!G58</f>
        <v>12793.925</v>
      </c>
      <c r="H58" s="41" t="n">
        <f aca="false">GrossMargin!H58-Expenses!H58-'Cap Charge'!H58</f>
        <v>54457</v>
      </c>
      <c r="I58" s="54" t="n">
        <f aca="false">G58-H58</f>
        <v>-41663.075</v>
      </c>
    </row>
    <row r="59" customFormat="false" ht="12.75" hidden="false" customHeight="true" outlineLevel="0" collapsed="false">
      <c r="A59" s="28" t="str">
        <f aca="false">'[1]QTD Mgmt Summary'!A58</f>
        <v>Energy Capital Svcs (Thompson/Josey)</v>
      </c>
      <c r="B59" s="19"/>
      <c r="C59" s="39" t="n">
        <f aca="false">GrossMargin!C59-Expenses!C59-'Cap Charge'!C59</f>
        <v>611</v>
      </c>
      <c r="D59" s="55" t="n">
        <f aca="false">GrossMargin!D59-Expenses!D59-'Cap Charge'!D59</f>
        <v>-2682</v>
      </c>
      <c r="E59" s="2" t="n">
        <f aca="false">GrossMargin!E59-Expenses!E59-'Cap Charge'!E59</f>
        <v>-5746</v>
      </c>
      <c r="F59" s="63" t="n">
        <f aca="false">GrossMargin!F59-Expenses!F59-'Cap Charge'!F59</f>
        <v>10233</v>
      </c>
      <c r="G59" s="60" t="n">
        <f aca="false">GrossMargin!G59-Expenses!G59-'Cap Charge'!G59</f>
        <v>2416</v>
      </c>
      <c r="H59" s="41" t="n">
        <f aca="false">GrossMargin!H59-Expenses!H59-'Cap Charge'!H59</f>
        <v>16834</v>
      </c>
      <c r="I59" s="54" t="n">
        <f aca="false">G59-H59</f>
        <v>-14418</v>
      </c>
    </row>
    <row r="60" customFormat="false" ht="12.75" hidden="false" customHeight="true" outlineLevel="0" collapsed="false">
      <c r="A60" s="28" t="str">
        <f aca="false">'[1]QTD Mgmt Summary'!A59</f>
        <v>Mariner</v>
      </c>
      <c r="B60" s="19"/>
      <c r="C60" s="39" t="n">
        <f aca="false">GrossMargin!C60-Expenses!C60-'Cap Charge'!C60</f>
        <v>-9096</v>
      </c>
      <c r="D60" s="55" t="n">
        <f aca="false">GrossMargin!D60-Expenses!D60-'Cap Charge'!D60</f>
        <v>-10233</v>
      </c>
      <c r="E60" s="2" t="n">
        <f aca="false">GrossMargin!E60-Expenses!E60-'Cap Charge'!E60</f>
        <v>-12167</v>
      </c>
      <c r="F60" s="63" t="n">
        <f aca="false">GrossMargin!F60-Expenses!F60-'Cap Charge'!F60</f>
        <v>0</v>
      </c>
      <c r="G60" s="60" t="n">
        <f aca="false">GrossMargin!G60-Expenses!G60-'Cap Charge'!G60</f>
        <v>-31496</v>
      </c>
      <c r="H60" s="41" t="n">
        <f aca="false">GrossMargin!H60-Expenses!H60-'Cap Charge'!H60</f>
        <v>-24020</v>
      </c>
      <c r="I60" s="54" t="n">
        <f aca="false">G60-H60</f>
        <v>-7476</v>
      </c>
    </row>
    <row r="61" customFormat="false" ht="12.75" hidden="false" customHeight="true" outlineLevel="0" collapsed="false">
      <c r="A61" s="28" t="str">
        <f aca="false">'[1]QTD Mgmt Summary'!A60</f>
        <v>Asset Marketing (D. Miller)</v>
      </c>
      <c r="B61" s="38"/>
      <c r="C61" s="39" t="n">
        <f aca="false">GrossMargin!C61-Expenses!C61-'Cap Charge'!C61</f>
        <v>0</v>
      </c>
      <c r="D61" s="55" t="n">
        <f aca="false">GrossMargin!D61-Expenses!D61-'Cap Charge'!D61</f>
        <v>2731</v>
      </c>
      <c r="E61" s="2" t="n">
        <f aca="false">GrossMargin!E61-Expenses!E61-'Cap Charge'!E61</f>
        <v>-252</v>
      </c>
      <c r="F61" s="55" t="n">
        <f aca="false">GrossMargin!F61-Expenses!F61-'Cap Charge'!F61</f>
        <v>4657</v>
      </c>
      <c r="G61" s="39" t="n">
        <f aca="false">GrossMargin!G61-Expenses!G61-'Cap Charge'!G61</f>
        <v>7136</v>
      </c>
      <c r="H61" s="41" t="n">
        <f aca="false">GrossMargin!H61-Expenses!H61-'Cap Charge'!H61</f>
        <v>18983</v>
      </c>
      <c r="I61" s="54" t="n">
        <f aca="false">G61-H61</f>
        <v>-11847</v>
      </c>
    </row>
    <row r="62" customFormat="false" ht="12.75" hidden="false" customHeight="true" outlineLevel="0" collapsed="false">
      <c r="A62" s="28" t="str">
        <f aca="false">GrossMargin!A62</f>
        <v>Principal Investing (Miller)</v>
      </c>
      <c r="B62" s="38"/>
      <c r="C62" s="39" t="n">
        <f aca="false">GrossMargin!C62-Expenses!C62-'Cap Charge'!C62</f>
        <v>-9534</v>
      </c>
      <c r="D62" s="55" t="n">
        <f aca="false">GrossMargin!D62-Expenses!D62-'Cap Charge'!D62</f>
        <v>-8225</v>
      </c>
      <c r="E62" s="2" t="n">
        <f aca="false">GrossMargin!E62-Expenses!E62-'Cap Charge'!E62</f>
        <v>0</v>
      </c>
      <c r="F62" s="55" t="n">
        <f aca="false">GrossMargin!F62-Expenses!F62-'Cap Charge'!F62</f>
        <v>0</v>
      </c>
      <c r="G62" s="39" t="n">
        <f aca="false">GrossMargin!G62-Expenses!G62-'Cap Charge'!G62</f>
        <v>-17759</v>
      </c>
      <c r="H62" s="41" t="n">
        <f aca="false">GrossMargin!H62-Expenses!H62-'Cap Charge'!H62</f>
        <v>4702</v>
      </c>
      <c r="I62" s="54" t="n">
        <f aca="false">G62-H62</f>
        <v>-22461</v>
      </c>
    </row>
    <row r="63" customFormat="false" ht="12.75" hidden="false" customHeight="true" outlineLevel="0" collapsed="false">
      <c r="A63" s="28" t="str">
        <f aca="false">GrossMargin!A63</f>
        <v>Corporate Development (Detmering)</v>
      </c>
      <c r="B63" s="38"/>
      <c r="C63" s="39" t="n">
        <f aca="false">GrossMargin!C63-Expenses!C63-'Cap Charge'!C63</f>
        <v>-700</v>
      </c>
      <c r="D63" s="55" t="n">
        <f aca="false">GrossMargin!D63-Expenses!D63-'Cap Charge'!D63</f>
        <v>0</v>
      </c>
      <c r="E63" s="2" t="n">
        <f aca="false">GrossMargin!E63-Expenses!E63-'Cap Charge'!E63</f>
        <v>0</v>
      </c>
      <c r="F63" s="55" t="n">
        <f aca="false">GrossMargin!F63-Expenses!F63-'Cap Charge'!F63</f>
        <v>0</v>
      </c>
      <c r="G63" s="39" t="n">
        <f aca="false">GrossMargin!G63-Expenses!G63-'Cap Charge'!G63</f>
        <v>-700</v>
      </c>
      <c r="H63" s="41" t="n">
        <f aca="false">GrossMargin!H63-Expenses!H63-'Cap Charge'!H63</f>
        <v>-9347</v>
      </c>
      <c r="I63" s="54" t="n">
        <f aca="false">G63-H63</f>
        <v>8647</v>
      </c>
    </row>
    <row r="64" customFormat="false" ht="12.75" hidden="false" customHeight="true" outlineLevel="0" collapsed="false">
      <c r="A64" s="28" t="str">
        <f aca="false">'[1]QTD Mgmt Summary'!A61</f>
        <v>Sold Peakers</v>
      </c>
      <c r="B64" s="38"/>
      <c r="C64" s="39" t="n">
        <f aca="false">GrossMargin!C64-Expenses!C64-'Cap Charge'!C64</f>
        <v>182368</v>
      </c>
      <c r="D64" s="55" t="n">
        <f aca="false">GrossMargin!D64-Expenses!D64-'Cap Charge'!D64</f>
        <v>399071</v>
      </c>
      <c r="E64" s="2" t="n">
        <f aca="false">GrossMargin!E64-Expenses!E64-'Cap Charge'!E64</f>
        <v>19209</v>
      </c>
      <c r="F64" s="55" t="n">
        <f aca="false">GrossMargin!F64-Expenses!F64-'Cap Charge'!F64</f>
        <v>-15562</v>
      </c>
      <c r="G64" s="39" t="n">
        <f aca="false">GrossMargin!G64-Expenses!G64-'Cap Charge'!G64</f>
        <v>585086</v>
      </c>
      <c r="H64" s="41" t="n">
        <f aca="false">GrossMargin!H64-Expenses!H64-'Cap Charge'!H64</f>
        <v>-93403</v>
      </c>
      <c r="I64" s="54" t="n">
        <f aca="false">G64-H64</f>
        <v>678489</v>
      </c>
    </row>
    <row r="65" customFormat="false" ht="12.75" hidden="false" customHeight="true" outlineLevel="0" collapsed="false">
      <c r="A65" s="28" t="str">
        <f aca="false">'[1]QTD Mgmt Summary'!A62</f>
        <v>Cross Commodity (Lavorato)</v>
      </c>
      <c r="B65" s="38"/>
      <c r="C65" s="39" t="n">
        <f aca="false">GrossMargin!C65-Expenses!C65-'Cap Charge'!C65</f>
        <v>-16596</v>
      </c>
      <c r="D65" s="55" t="n">
        <f aca="false">GrossMargin!D65-Expenses!D65-'Cap Charge'!D65</f>
        <v>37722</v>
      </c>
      <c r="E65" s="2" t="n">
        <f aca="false">GrossMargin!E65-Expenses!E65-'Cap Charge'!E65</f>
        <v>-22394</v>
      </c>
      <c r="F65" s="55" t="n">
        <f aca="false">GrossMargin!F65-Expenses!F65-'Cap Charge'!F65</f>
        <v>0</v>
      </c>
      <c r="G65" s="39" t="n">
        <f aca="false">GrossMargin!G65-Expenses!G65-'Cap Charge'!G65</f>
        <v>-1268</v>
      </c>
      <c r="H65" s="41" t="n">
        <f aca="false">GrossMargin!H65-Expenses!H65-'Cap Charge'!H65</f>
        <v>0</v>
      </c>
      <c r="I65" s="54" t="n">
        <f aca="false">G65-H65</f>
        <v>-1268</v>
      </c>
    </row>
    <row r="66" customFormat="false" ht="12.75" hidden="false" customHeight="true" outlineLevel="0" collapsed="false">
      <c r="A66" s="28" t="str">
        <f aca="false">'[1]QTD Mgmt Summary'!A63</f>
        <v>Office of the Chairman (Lavorato/Kitchen)</v>
      </c>
      <c r="B66" s="19"/>
      <c r="C66" s="39" t="n">
        <f aca="false">GrossMargin!C66-Expenses!C66-'Cap Charge'!C66</f>
        <v>-24710</v>
      </c>
      <c r="D66" s="55" t="n">
        <f aca="false">GrossMargin!D66-Expenses!D66-'Cap Charge'!D66</f>
        <v>-725</v>
      </c>
      <c r="E66" s="2" t="n">
        <f aca="false">GrossMargin!E66-Expenses!E66-'Cap Charge'!E66</f>
        <v>-1207</v>
      </c>
      <c r="F66" s="55" t="n">
        <f aca="false">GrossMargin!F66-Expenses!F66-'Cap Charge'!F66</f>
        <v>-105450</v>
      </c>
      <c r="G66" s="39" t="n">
        <f aca="false">GrossMargin!G66-Expenses!G66-'Cap Charge'!G66</f>
        <v>-132092</v>
      </c>
      <c r="H66" s="41" t="n">
        <f aca="false">GrossMargin!H66-Expenses!H66-'Cap Charge'!H66</f>
        <v>-113596</v>
      </c>
      <c r="I66" s="54" t="n">
        <f aca="false">G66-H66</f>
        <v>-18496</v>
      </c>
    </row>
    <row r="67" customFormat="false" ht="12.75" hidden="false" customHeight="true" outlineLevel="0" collapsed="false">
      <c r="A67" s="28" t="str">
        <f aca="false">'[1]QTD Mgmt Summary'!A64</f>
        <v>TVA Settlement</v>
      </c>
      <c r="B67" s="19"/>
      <c r="C67" s="39" t="n">
        <f aca="false">GrossMargin!C67-Expenses!C67-'Cap Charge'!C67</f>
        <v>-253300</v>
      </c>
      <c r="D67" s="55" t="n">
        <f aca="false">GrossMargin!D67-Expenses!D67-'Cap Charge'!D67</f>
        <v>0</v>
      </c>
      <c r="E67" s="2" t="n">
        <f aca="false">GrossMargin!E67-Expenses!E67-'Cap Charge'!E67</f>
        <v>0</v>
      </c>
      <c r="F67" s="55" t="n">
        <f aca="false">GrossMargin!F67-Expenses!F67-'Cap Charge'!F67</f>
        <v>0</v>
      </c>
      <c r="G67" s="39" t="n">
        <f aca="false">GrossMargin!G67-Expenses!G67-'Cap Charge'!G67</f>
        <v>-253300</v>
      </c>
      <c r="H67" s="41" t="n">
        <f aca="false">GrossMargin!H67-Expenses!H67-'Cap Charge'!H67</f>
        <v>0</v>
      </c>
      <c r="I67" s="54" t="n">
        <f aca="false">G67-H67</f>
        <v>-253300</v>
      </c>
    </row>
    <row r="68" customFormat="false" ht="12.75" hidden="false" customHeight="true" outlineLevel="0" collapsed="false">
      <c r="A68" s="28" t="str">
        <f aca="false">'[1]QTD Mgmt Summary'!A65</f>
        <v>Other *</v>
      </c>
      <c r="B68" s="19"/>
      <c r="C68" s="39" t="n">
        <f aca="false">GrossMargin!C68-Expenses!C68-'Cap Charge'!C68</f>
        <v>-31384</v>
      </c>
      <c r="D68" s="55" t="n">
        <f aca="false">GrossMargin!D68-Expenses!D68-'Cap Charge'!D68</f>
        <v>-6995</v>
      </c>
      <c r="E68" s="2" t="n">
        <f aca="false">GrossMargin!E68-Expenses!E68-'Cap Charge'!E68</f>
        <v>-290</v>
      </c>
      <c r="F68" s="63" t="n">
        <f aca="false">GrossMargin!F68-Expenses!F68-'Cap Charge'!F68</f>
        <v>-15593</v>
      </c>
      <c r="G68" s="60" t="n">
        <f aca="false">GrossMargin!G68-Expenses!G68-'Cap Charge'!G68</f>
        <v>-54262</v>
      </c>
      <c r="H68" s="41" t="n">
        <f aca="false">GrossMargin!H68-Expenses!H68-'Cap Charge'!H68</f>
        <v>-81550</v>
      </c>
      <c r="I68" s="54" t="n">
        <f aca="false">G68-H68</f>
        <v>27288</v>
      </c>
    </row>
    <row r="69" customFormat="false" ht="12.75" hidden="false" customHeight="true" outlineLevel="0" collapsed="false">
      <c r="A69" s="44" t="s">
        <v>18</v>
      </c>
      <c r="B69" s="45"/>
      <c r="C69" s="46" t="n">
        <f aca="false">SUM(C55:C68)+C54+C46+C32+C24</f>
        <v>844184</v>
      </c>
      <c r="D69" s="47" t="n">
        <f aca="false">SUM(D55:D68)+D54+D46+D32+D24</f>
        <v>1239728</v>
      </c>
      <c r="E69" s="47" t="n">
        <f aca="false">SUM(E55:E68)+E54+E46+E32+E24</f>
        <v>744544.365</v>
      </c>
      <c r="F69" s="47" t="n">
        <f aca="false">SUM(F55:F68)+F54+F46+F32+F24</f>
        <v>116858</v>
      </c>
      <c r="G69" s="49" t="n">
        <f aca="false">(SUM(G55:G68))+G24+G32+G46+G54</f>
        <v>2945314.365</v>
      </c>
      <c r="H69" s="49" t="n">
        <f aca="false">(SUM(H55:H68))+H24+H32+H46+H54</f>
        <v>1032278</v>
      </c>
      <c r="I69" s="49" t="n">
        <f aca="false">(SUM(I55:I68))+I24+I32+I46+I54</f>
        <v>1913036.365</v>
      </c>
      <c r="J69" s="64"/>
      <c r="K69" s="64"/>
      <c r="L69" s="65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  <c r="HU69" s="64"/>
      <c r="HV69" s="64"/>
      <c r="HW69" s="64"/>
      <c r="HX69" s="64"/>
      <c r="HY69" s="64"/>
      <c r="HZ69" s="64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64"/>
      <c r="IQ69" s="64"/>
      <c r="IR69" s="64"/>
      <c r="IS69" s="64"/>
      <c r="IT69" s="64"/>
      <c r="IU69" s="64"/>
      <c r="IV69" s="64"/>
      <c r="IW69" s="64"/>
    </row>
    <row r="70" customFormat="false" ht="9" hidden="false" customHeight="true" outlineLevel="0" collapsed="false">
      <c r="A70" s="66"/>
      <c r="B70" s="19"/>
      <c r="C70" s="35"/>
      <c r="D70" s="2"/>
      <c r="E70" s="67"/>
      <c r="F70" s="55"/>
      <c r="G70" s="39"/>
      <c r="H70" s="41"/>
      <c r="I70" s="68"/>
    </row>
    <row r="71" customFormat="false" ht="12.75" hidden="false" customHeight="true" outlineLevel="0" collapsed="false">
      <c r="A71" s="66" t="s">
        <v>19</v>
      </c>
      <c r="B71" s="19"/>
      <c r="C71" s="39" t="n">
        <f aca="false">GrossMargin!C71-Expenses!C71-'Cap Charge'!C71</f>
        <v>-2119</v>
      </c>
      <c r="D71" s="55" t="n">
        <f aca="false">GrossMargin!D71-Expenses!D71-'Cap Charge'!D71</f>
        <v>-2418</v>
      </c>
      <c r="E71" s="2" t="n">
        <f aca="false">GrossMargin!E71-Expenses!E71-'Cap Charge'!E71</f>
        <v>-2232</v>
      </c>
      <c r="F71" s="40" t="n">
        <f aca="false">GrossMargin!F71-Expenses!F71-'Cap Charge'!F71</f>
        <v>-2374.245</v>
      </c>
      <c r="G71" s="39" t="n">
        <f aca="false">GrossMargin!G71-Expenses!G71-'Cap Charge'!G71</f>
        <v>-9143.245</v>
      </c>
      <c r="H71" s="41" t="n">
        <f aca="false">GrossMargin!H71-Expenses!H71-'Cap Charge'!H71</f>
        <v>-10008</v>
      </c>
      <c r="I71" s="54" t="n">
        <f aca="false">G71-H71</f>
        <v>864.755000000001</v>
      </c>
    </row>
    <row r="72" customFormat="false" ht="12.75" hidden="false" customHeight="true" outlineLevel="0" collapsed="false">
      <c r="A72" s="66" t="s">
        <v>20</v>
      </c>
      <c r="B72" s="19"/>
      <c r="C72" s="39" t="n">
        <f aca="false">GrossMargin!C72-Expenses!C72-'Cap Charge'!C72</f>
        <v>-767</v>
      </c>
      <c r="D72" s="55" t="n">
        <f aca="false">GrossMargin!D72-Expenses!D72-'Cap Charge'!D72</f>
        <v>-489</v>
      </c>
      <c r="E72" s="2" t="n">
        <f aca="false">GrossMargin!E72-Expenses!E72-'Cap Charge'!E72</f>
        <v>-521</v>
      </c>
      <c r="F72" s="40" t="n">
        <f aca="false">GrossMargin!F72-Expenses!F72-'Cap Charge'!F72</f>
        <v>-455.505</v>
      </c>
      <c r="G72" s="39" t="n">
        <f aca="false">GrossMargin!G72-Expenses!G72-'Cap Charge'!G72</f>
        <v>-2232.505</v>
      </c>
      <c r="H72" s="41" t="n">
        <f aca="false">GrossMargin!H72-Expenses!H72-'Cap Charge'!H72</f>
        <v>-1909</v>
      </c>
      <c r="I72" s="54" t="n">
        <f aca="false">G72-H72</f>
        <v>-323.505</v>
      </c>
    </row>
    <row r="73" customFormat="false" ht="12.75" hidden="false" customHeight="true" outlineLevel="0" collapsed="false">
      <c r="A73" s="66" t="s">
        <v>21</v>
      </c>
      <c r="B73" s="19"/>
      <c r="C73" s="39" t="n">
        <f aca="false">GrossMargin!C73-Expenses!C73-'Cap Charge'!C73</f>
        <v>-1717</v>
      </c>
      <c r="D73" s="55" t="n">
        <f aca="false">GrossMargin!D73-Expenses!D73-'Cap Charge'!D73</f>
        <v>-545</v>
      </c>
      <c r="E73" s="2" t="n">
        <f aca="false">GrossMargin!E73-Expenses!E73-'Cap Charge'!E73</f>
        <v>-1117</v>
      </c>
      <c r="F73" s="40" t="n">
        <f aca="false">GrossMargin!F73-Expenses!F73-'Cap Charge'!F73</f>
        <v>-1418.878</v>
      </c>
      <c r="G73" s="39" t="n">
        <f aca="false">GrossMargin!G73-Expenses!G73-'Cap Charge'!G73</f>
        <v>-4797.878</v>
      </c>
      <c r="H73" s="41" t="n">
        <f aca="false">GrossMargin!H73-Expenses!H73-'Cap Charge'!H73</f>
        <v>-5667</v>
      </c>
      <c r="I73" s="54" t="n">
        <f aca="false">G73-H73</f>
        <v>869.122</v>
      </c>
    </row>
    <row r="74" customFormat="false" ht="12.75" hidden="false" customHeight="true" outlineLevel="0" collapsed="false">
      <c r="A74" s="66" t="s">
        <v>22</v>
      </c>
      <c r="B74" s="19"/>
      <c r="C74" s="39" t="n">
        <f aca="false">GrossMargin!C74-Expenses!C74-'Cap Charge'!C74</f>
        <v>-10540</v>
      </c>
      <c r="D74" s="55" t="n">
        <f aca="false">GrossMargin!D74-Expenses!D74-'Cap Charge'!D74</f>
        <v>-9102</v>
      </c>
      <c r="E74" s="2" t="n">
        <f aca="false">GrossMargin!E74-Expenses!E74-'Cap Charge'!E74</f>
        <v>-10346</v>
      </c>
      <c r="F74" s="40" t="n">
        <f aca="false">GrossMargin!F74-Expenses!F74-'Cap Charge'!F74</f>
        <v>-11344</v>
      </c>
      <c r="G74" s="39" t="n">
        <f aca="false">GrossMargin!G74-Expenses!G74-'Cap Charge'!G74</f>
        <v>-41332</v>
      </c>
      <c r="H74" s="41" t="n">
        <f aca="false">GrossMargin!H74-Expenses!H74-'Cap Charge'!H74</f>
        <v>-40474</v>
      </c>
      <c r="I74" s="54" t="n">
        <f aca="false">G74-H74</f>
        <v>-858</v>
      </c>
    </row>
    <row r="75" customFormat="false" ht="12.75" hidden="false" customHeight="true" outlineLevel="0" collapsed="false">
      <c r="A75" s="66" t="s">
        <v>23</v>
      </c>
      <c r="B75" s="19"/>
      <c r="C75" s="39" t="n">
        <f aca="false">GrossMargin!C75-Expenses!C75-'Cap Charge'!C75</f>
        <v>-936</v>
      </c>
      <c r="D75" s="55" t="n">
        <f aca="false">GrossMargin!D75-Expenses!D75-'Cap Charge'!D75</f>
        <v>-1180</v>
      </c>
      <c r="E75" s="2" t="n">
        <f aca="false">GrossMargin!E75-Expenses!E75-'Cap Charge'!E75</f>
        <v>-2035</v>
      </c>
      <c r="F75" s="40" t="n">
        <f aca="false">GrossMargin!F75-Expenses!F75-'Cap Charge'!F75</f>
        <v>-1144.072</v>
      </c>
      <c r="G75" s="39" t="n">
        <f aca="false">GrossMargin!G75-Expenses!G75-'Cap Charge'!G75</f>
        <v>-5295.072</v>
      </c>
      <c r="H75" s="41" t="n">
        <f aca="false">GrossMargin!H75-Expenses!H75-'Cap Charge'!H75</f>
        <v>-4696</v>
      </c>
      <c r="I75" s="54" t="n">
        <f aca="false">G75-H75</f>
        <v>-599.072</v>
      </c>
    </row>
    <row r="76" customFormat="false" ht="12.75" hidden="false" customHeight="true" outlineLevel="0" collapsed="false">
      <c r="A76" s="66" t="s">
        <v>24</v>
      </c>
      <c r="B76" s="19"/>
      <c r="C76" s="39" t="n">
        <f aca="false">GrossMargin!C76-Expenses!C76-'Cap Charge'!C76</f>
        <v>-2483</v>
      </c>
      <c r="D76" s="55" t="n">
        <f aca="false">GrossMargin!D76-Expenses!D76-'Cap Charge'!D76</f>
        <v>-3634</v>
      </c>
      <c r="E76" s="2" t="n">
        <f aca="false">GrossMargin!E76-Expenses!E76-'Cap Charge'!E76</f>
        <v>-4034</v>
      </c>
      <c r="F76" s="40" t="n">
        <f aca="false">GrossMargin!F76-Expenses!F76-'Cap Charge'!F76</f>
        <v>-3385.464</v>
      </c>
      <c r="G76" s="39" t="n">
        <f aca="false">GrossMargin!G76-Expenses!G76-'Cap Charge'!G76</f>
        <v>-13536.464</v>
      </c>
      <c r="H76" s="41" t="n">
        <f aca="false">GrossMargin!H76-Expenses!H76-'Cap Charge'!H76</f>
        <v>-9967</v>
      </c>
      <c r="I76" s="54" t="n">
        <f aca="false">G76-H76</f>
        <v>-3569.464</v>
      </c>
    </row>
    <row r="77" customFormat="false" ht="12.75" hidden="false" customHeight="true" outlineLevel="0" collapsed="false">
      <c r="A77" s="66" t="s">
        <v>25</v>
      </c>
      <c r="B77" s="19"/>
      <c r="C77" s="39" t="n">
        <f aca="false">GrossMargin!C77-Expenses!C77-'Cap Charge'!C77</f>
        <v>-10</v>
      </c>
      <c r="D77" s="55" t="n">
        <f aca="false">GrossMargin!D77-Expenses!D77-'Cap Charge'!D77</f>
        <v>-318</v>
      </c>
      <c r="E77" s="2" t="n">
        <f aca="false">GrossMargin!E77-Expenses!E77-'Cap Charge'!E77</f>
        <v>-571</v>
      </c>
      <c r="F77" s="40" t="n">
        <f aca="false">GrossMargin!F77-Expenses!F77-'Cap Charge'!F77</f>
        <v>-618.009</v>
      </c>
      <c r="G77" s="39" t="n">
        <f aca="false">GrossMargin!G77-Expenses!G77-'Cap Charge'!G77</f>
        <v>-1517.009</v>
      </c>
      <c r="H77" s="41" t="n">
        <f aca="false">GrossMargin!H77-Expenses!H77-'Cap Charge'!H77</f>
        <v>-1572</v>
      </c>
      <c r="I77" s="54" t="n">
        <f aca="false">G77-H77</f>
        <v>54.991</v>
      </c>
    </row>
    <row r="78" customFormat="false" ht="12.75" hidden="false" customHeight="true" outlineLevel="0" collapsed="false">
      <c r="A78" s="66" t="s">
        <v>26</v>
      </c>
      <c r="B78" s="19"/>
      <c r="C78" s="39" t="n">
        <f aca="false">GrossMargin!C78-Expenses!C78-'Cap Charge'!C78</f>
        <v>-357</v>
      </c>
      <c r="D78" s="55" t="n">
        <f aca="false">GrossMargin!D78-Expenses!D78-'Cap Charge'!D78</f>
        <v>-700</v>
      </c>
      <c r="E78" s="2" t="n">
        <f aca="false">GrossMargin!E78-Expenses!E78-'Cap Charge'!E78</f>
        <v>-511</v>
      </c>
      <c r="F78" s="40" t="n">
        <f aca="false">GrossMargin!F78-Expenses!F78-'Cap Charge'!F78</f>
        <v>-400.589</v>
      </c>
      <c r="G78" s="39" t="n">
        <f aca="false">GrossMargin!G78-Expenses!G78-'Cap Charge'!G78</f>
        <v>-1968.589</v>
      </c>
      <c r="H78" s="41" t="n">
        <f aca="false">GrossMargin!H78-Expenses!H78-'Cap Charge'!H78</f>
        <v>-1986</v>
      </c>
      <c r="I78" s="54" t="n">
        <f aca="false">G78-H78</f>
        <v>17.4110000000001</v>
      </c>
    </row>
    <row r="79" customFormat="false" ht="12.75" hidden="false" customHeight="true" outlineLevel="0" collapsed="false">
      <c r="A79" s="66" t="s">
        <v>27</v>
      </c>
      <c r="B79" s="19"/>
      <c r="C79" s="39" t="n">
        <f aca="false">GrossMargin!C79-Expenses!C79-'Cap Charge'!C79</f>
        <v>-200</v>
      </c>
      <c r="D79" s="55" t="n">
        <f aca="false">GrossMargin!D79-Expenses!D79-'Cap Charge'!D79</f>
        <v>-815</v>
      </c>
      <c r="E79" s="2" t="n">
        <f aca="false">GrossMargin!E79-Expenses!E79-'Cap Charge'!E79</f>
        <v>-395</v>
      </c>
      <c r="F79" s="40" t="n">
        <f aca="false">GrossMargin!F79-Expenses!F79-'Cap Charge'!F79</f>
        <v>-544.731</v>
      </c>
      <c r="G79" s="39" t="n">
        <f aca="false">GrossMargin!G79-Expenses!G79-'Cap Charge'!G79</f>
        <v>-1954.731</v>
      </c>
      <c r="H79" s="41" t="n">
        <f aca="false">GrossMargin!H79-Expenses!H79-'Cap Charge'!H79</f>
        <v>-2200</v>
      </c>
      <c r="I79" s="54" t="n">
        <f aca="false">G79-H79</f>
        <v>245.269</v>
      </c>
    </row>
    <row r="80" customFormat="false" ht="12.75" hidden="false" customHeight="true" outlineLevel="0" collapsed="false">
      <c r="A80" s="66" t="s">
        <v>28</v>
      </c>
      <c r="B80" s="19"/>
      <c r="C80" s="39" t="n">
        <f aca="false">GrossMargin!C80-Expenses!C80-'Cap Charge'!C80</f>
        <v>-189</v>
      </c>
      <c r="D80" s="55" t="n">
        <f aca="false">GrossMargin!D80-Expenses!D80-'Cap Charge'!D80</f>
        <v>-282</v>
      </c>
      <c r="E80" s="2" t="n">
        <f aca="false">GrossMargin!E80-Expenses!E80-'Cap Charge'!E80</f>
        <v>-813</v>
      </c>
      <c r="F80" s="40" t="n">
        <f aca="false">GrossMargin!F80-Expenses!F80-'Cap Charge'!F80</f>
        <v>-197.582</v>
      </c>
      <c r="G80" s="39" t="n">
        <f aca="false">GrossMargin!G80-Expenses!G80-'Cap Charge'!G80</f>
        <v>-1481.582</v>
      </c>
      <c r="H80" s="41" t="n">
        <f aca="false">GrossMargin!H80-Expenses!H80-'Cap Charge'!H80</f>
        <v>-792</v>
      </c>
      <c r="I80" s="54" t="n">
        <f aca="false">G80-H80</f>
        <v>-689.582</v>
      </c>
    </row>
    <row r="81" customFormat="false" ht="12.75" hidden="false" customHeight="true" outlineLevel="0" collapsed="false">
      <c r="A81" s="66" t="s">
        <v>29</v>
      </c>
      <c r="B81" s="19"/>
      <c r="C81" s="39" t="n">
        <f aca="false">GrossMargin!C81-Expenses!C81-'Cap Charge'!C81</f>
        <v>-471</v>
      </c>
      <c r="D81" s="55" t="n">
        <f aca="false">GrossMargin!D81-Expenses!D81-'Cap Charge'!D81</f>
        <v>-446</v>
      </c>
      <c r="E81" s="2" t="n">
        <f aca="false">GrossMargin!E81-Expenses!E81-'Cap Charge'!E81</f>
        <v>-356</v>
      </c>
      <c r="F81" s="40" t="n">
        <f aca="false">GrossMargin!F81-Expenses!F81-'Cap Charge'!F81</f>
        <v>-683.271</v>
      </c>
      <c r="G81" s="39" t="n">
        <f aca="false">GrossMargin!G81-Expenses!G81-'Cap Charge'!G81</f>
        <v>-1956.271</v>
      </c>
      <c r="H81" s="41" t="n">
        <f aca="false">GrossMargin!H81-Expenses!H81-'Cap Charge'!H81</f>
        <v>-2702</v>
      </c>
      <c r="I81" s="54" t="n">
        <f aca="false">G81-H81</f>
        <v>745.729</v>
      </c>
    </row>
    <row r="82" customFormat="false" ht="12.75" hidden="false" customHeight="true" outlineLevel="0" collapsed="false">
      <c r="A82" s="66" t="s">
        <v>30</v>
      </c>
      <c r="B82" s="19"/>
      <c r="C82" s="39" t="n">
        <f aca="false">GrossMargin!C82-Expenses!C82-'Cap Charge'!C82</f>
        <v>-1119</v>
      </c>
      <c r="D82" s="55" t="n">
        <f aca="false">GrossMargin!D82-Expenses!D82-'Cap Charge'!D82</f>
        <v>-1029</v>
      </c>
      <c r="E82" s="2" t="n">
        <f aca="false">GrossMargin!E82-Expenses!E82-'Cap Charge'!E82</f>
        <v>-1038</v>
      </c>
      <c r="F82" s="40" t="n">
        <f aca="false">GrossMargin!F82-Expenses!F82-'Cap Charge'!F82</f>
        <v>-4169</v>
      </c>
      <c r="G82" s="39" t="n">
        <f aca="false">GrossMargin!G82-Expenses!G82-'Cap Charge'!G82</f>
        <v>-7355</v>
      </c>
      <c r="H82" s="41" t="n">
        <f aca="false">GrossMargin!H82-Expenses!H82-'Cap Charge'!H82</f>
        <v>-5676</v>
      </c>
      <c r="I82" s="54" t="n">
        <f aca="false">G82-H82</f>
        <v>-1679</v>
      </c>
    </row>
    <row r="83" customFormat="false" ht="12.75" hidden="false" customHeight="true" outlineLevel="0" collapsed="false">
      <c r="A83" s="66" t="s">
        <v>31</v>
      </c>
      <c r="B83" s="19"/>
      <c r="C83" s="39" t="n">
        <f aca="false">GrossMargin!C83-Expenses!C83-'Cap Charge'!C83</f>
        <v>-26414</v>
      </c>
      <c r="D83" s="55" t="n">
        <f aca="false">GrossMargin!D83-Expenses!D83-'Cap Charge'!D83</f>
        <v>-35596</v>
      </c>
      <c r="E83" s="2" t="n">
        <f aca="false">GrossMargin!E83-Expenses!E83-'Cap Charge'!E83</f>
        <v>-34927</v>
      </c>
      <c r="F83" s="40" t="n">
        <f aca="false">GrossMargin!F83-Expenses!F83-'Cap Charge'!F83</f>
        <v>-22613.004</v>
      </c>
      <c r="G83" s="39" t="n">
        <f aca="false">GrossMargin!G83-Expenses!G83-'Cap Charge'!G83</f>
        <v>-119550.004</v>
      </c>
      <c r="H83" s="41" t="n">
        <f aca="false">GrossMargin!H83-Expenses!H83-'Cap Charge'!H83</f>
        <v>-91376</v>
      </c>
      <c r="I83" s="54" t="n">
        <f aca="false">G83-H83</f>
        <v>-28174.004</v>
      </c>
    </row>
    <row r="84" customFormat="false" ht="12.75" hidden="false" customHeight="true" outlineLevel="0" collapsed="false">
      <c r="A84" s="66" t="s">
        <v>32</v>
      </c>
      <c r="B84" s="19"/>
      <c r="C84" s="39" t="n">
        <f aca="false">GrossMargin!C84-Expenses!C84-'Cap Charge'!C84</f>
        <v>-48754</v>
      </c>
      <c r="D84" s="55" t="n">
        <f aca="false">GrossMargin!D84-Expenses!D84-'Cap Charge'!D84</f>
        <v>-43375</v>
      </c>
      <c r="E84" s="2" t="n">
        <f aca="false">GrossMargin!E84-Expenses!E84-'Cap Charge'!E84</f>
        <v>-47504</v>
      </c>
      <c r="F84" s="40" t="n">
        <f aca="false">GrossMargin!F84-Expenses!F84-'Cap Charge'!F84</f>
        <v>-48547</v>
      </c>
      <c r="G84" s="39" t="n">
        <f aca="false">GrossMargin!G84-Expenses!G84-'Cap Charge'!G84</f>
        <v>-188180</v>
      </c>
      <c r="H84" s="41" t="n">
        <f aca="false">GrossMargin!H84-Expenses!H84-'Cap Charge'!H84</f>
        <v>-186341</v>
      </c>
      <c r="I84" s="54" t="n">
        <f aca="false">G84-H84</f>
        <v>-1839</v>
      </c>
    </row>
    <row r="85" customFormat="false" ht="12.75" hidden="false" customHeight="true" outlineLevel="0" collapsed="false">
      <c r="A85" s="44" t="s">
        <v>33</v>
      </c>
      <c r="B85" s="45"/>
      <c r="C85" s="46" t="n">
        <f aca="false">SUM(C71:C84)</f>
        <v>-96076</v>
      </c>
      <c r="D85" s="47" t="n">
        <f aca="false">SUM(D71:D84)</f>
        <v>-99929</v>
      </c>
      <c r="E85" s="47" t="n">
        <f aca="false">SUM(E71:E84)</f>
        <v>-106400</v>
      </c>
      <c r="F85" s="48" t="n">
        <f aca="false">SUM(F71:F84)</f>
        <v>-97895.35</v>
      </c>
      <c r="G85" s="49" t="n">
        <f aca="false">SUM(G71:G84)</f>
        <v>-400300.35</v>
      </c>
      <c r="H85" s="50" t="n">
        <f aca="false">SUM(H71:H84)</f>
        <v>-365366</v>
      </c>
      <c r="I85" s="51" t="n">
        <f aca="false">SUM(I71:I84)</f>
        <v>-34934.35</v>
      </c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</row>
    <row r="86" customFormat="false" ht="12.75" hidden="false" customHeight="true" outlineLevel="0" collapsed="false">
      <c r="A86" s="69" t="str">
        <f aca="false">'[1]QTD Mgmt Summary'!A83</f>
        <v>Prepay Expenses</v>
      </c>
      <c r="B86" s="19"/>
      <c r="C86" s="39" t="n">
        <f aca="false">GrossMargin!C86-Expenses!C86-'Cap Charge'!C86</f>
        <v>-14566</v>
      </c>
      <c r="D86" s="55" t="n">
        <f aca="false">GrossMargin!D86-Expenses!D86-'Cap Charge'!D86</f>
        <v>-14204</v>
      </c>
      <c r="E86" s="2" t="n">
        <f aca="false">GrossMargin!E86-Expenses!E86-'Cap Charge'!E86</f>
        <v>-49802</v>
      </c>
      <c r="F86" s="40" t="n">
        <f aca="false">GrossMargin!F86-Expenses!F86-'Cap Charge'!F86</f>
        <v>-38127</v>
      </c>
      <c r="G86" s="39" t="n">
        <f aca="false">GrossMargin!G86-Expenses!G86-'Cap Charge'!G86</f>
        <v>-116699</v>
      </c>
      <c r="H86" s="41" t="n">
        <f aca="false">GrossMargin!H86-Expenses!H86-'Cap Charge'!H86</f>
        <v>-149780</v>
      </c>
      <c r="I86" s="54" t="n">
        <f aca="false">G86-H86</f>
        <v>33081</v>
      </c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  <c r="IW86" s="70"/>
    </row>
    <row r="87" customFormat="false" ht="12.75" hidden="false" customHeight="true" outlineLevel="0" collapsed="false">
      <c r="A87" s="69" t="str">
        <f aca="false">'[1]QTD Mgmt Summary'!A84</f>
        <v>U.S. Drift</v>
      </c>
      <c r="B87" s="19"/>
      <c r="C87" s="35" t="n">
        <f aca="false">GrossMargin!C87-Expenses!C87-'Cap Charge'!C87</f>
        <v>47398</v>
      </c>
      <c r="D87" s="55" t="n">
        <f aca="false">GrossMargin!D87-Expenses!D87-'Cap Charge'!D87</f>
        <v>39916</v>
      </c>
      <c r="E87" s="2" t="n">
        <f aca="false">GrossMargin!E87-Expenses!E87-'Cap Charge'!E87</f>
        <v>31151</v>
      </c>
      <c r="F87" s="40" t="n">
        <f aca="false">GrossMargin!F87-Expenses!F87-'Cap Charge'!F87</f>
        <v>28010</v>
      </c>
      <c r="G87" s="39" t="n">
        <f aca="false">GrossMargin!G87-Expenses!G87-'Cap Charge'!G87</f>
        <v>146475</v>
      </c>
      <c r="H87" s="41" t="n">
        <f aca="false">GrossMargin!H87-Expenses!H87-'Cap Charge'!H87</f>
        <v>113845</v>
      </c>
      <c r="I87" s="54" t="n">
        <f aca="false">G87-H87</f>
        <v>32630</v>
      </c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  <c r="IV87" s="70"/>
      <c r="IW87" s="70"/>
    </row>
    <row r="88" customFormat="false" ht="12.75" hidden="false" customHeight="true" outlineLevel="0" collapsed="false">
      <c r="A88" s="69" t="str">
        <f aca="false">'[1]QTD Mgmt Summary'!A85</f>
        <v>Facility Costs</v>
      </c>
      <c r="B88" s="19"/>
      <c r="C88" s="39" t="n">
        <f aca="false">GrossMargin!C88-Expenses!C88-'Cap Charge'!C88</f>
        <v>-24207</v>
      </c>
      <c r="D88" s="55" t="n">
        <f aca="false">GrossMargin!D88-Expenses!D88-'Cap Charge'!D88</f>
        <v>-12795</v>
      </c>
      <c r="E88" s="2" t="n">
        <f aca="false">GrossMargin!E88-Expenses!E88-'Cap Charge'!E88</f>
        <v>-10608</v>
      </c>
      <c r="F88" s="40" t="n">
        <f aca="false">GrossMargin!F88-Expenses!F88-'Cap Charge'!F88</f>
        <v>-13000</v>
      </c>
      <c r="G88" s="39" t="n">
        <f aca="false">GrossMargin!G88-Expenses!G88-'Cap Charge'!G88</f>
        <v>-60610</v>
      </c>
      <c r="H88" s="41" t="n">
        <f aca="false">GrossMargin!H88-Expenses!H88-'Cap Charge'!H88</f>
        <v>-52000</v>
      </c>
      <c r="I88" s="54" t="n">
        <f aca="false">G88-H88</f>
        <v>-8610</v>
      </c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  <c r="IV88" s="70"/>
      <c r="IW88" s="70"/>
    </row>
    <row r="89" customFormat="false" ht="12.75" hidden="false" customHeight="true" outlineLevel="0" collapsed="false">
      <c r="A89" s="69" t="str">
        <f aca="false">'[1]QTD Mgmt Summary'!A86</f>
        <v>Capital Charge Offset</v>
      </c>
      <c r="B89" s="19"/>
      <c r="C89" s="39" t="n">
        <f aca="false">GrossMargin!C89-Expenses!C89-'Cap Charge'!C89</f>
        <v>99933</v>
      </c>
      <c r="D89" s="55" t="n">
        <f aca="false">GrossMargin!D89-Expenses!D89-'Cap Charge'!D89</f>
        <v>75687</v>
      </c>
      <c r="E89" s="2" t="n">
        <f aca="false">GrossMargin!E89-Expenses!E89-'Cap Charge'!E89</f>
        <v>51567.635</v>
      </c>
      <c r="F89" s="40" t="n">
        <f aca="false">GrossMargin!F89-Expenses!F89-'Cap Charge'!F89</f>
        <v>57444</v>
      </c>
      <c r="G89" s="53" t="n">
        <f aca="false">GrossMargin!G89-Expenses!G89-'Cap Charge'!G89</f>
        <v>284631.635</v>
      </c>
      <c r="H89" s="71" t="n">
        <f aca="false">GrossMargin!H89-Expenses!H89-'Cap Charge'!H89</f>
        <v>324322</v>
      </c>
      <c r="I89" s="54" t="n">
        <f aca="false">G89-H89</f>
        <v>-39690.365</v>
      </c>
    </row>
    <row r="90" customFormat="false" ht="12.75" hidden="false" customHeight="true" outlineLevel="0" collapsed="false">
      <c r="A90" s="44" t="s">
        <v>34</v>
      </c>
      <c r="B90" s="45"/>
      <c r="C90" s="46" t="n">
        <f aca="false">C69+C85+C86+C87+C88+C89</f>
        <v>856666</v>
      </c>
      <c r="D90" s="47" t="n">
        <f aca="false">D69+D85+D86+D87+D88+D89</f>
        <v>1228403</v>
      </c>
      <c r="E90" s="47" t="n">
        <f aca="false">E69+E85+E86+E87+E88+E89</f>
        <v>660453</v>
      </c>
      <c r="F90" s="47" t="n">
        <f aca="false">F69+F85+F86+F87+F88+F89</f>
        <v>53289.65</v>
      </c>
      <c r="G90" s="46" t="n">
        <f aca="false">G69+G85+G86+G87+G88+G89</f>
        <v>2798811.65</v>
      </c>
      <c r="H90" s="61" t="n">
        <f aca="false">SUM(H86:H89)+H85+H69</f>
        <v>903299</v>
      </c>
      <c r="I90" s="62" t="n">
        <f aca="false">G90-H90</f>
        <v>1895512.65</v>
      </c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  <c r="HU90" s="64"/>
      <c r="HV90" s="64"/>
      <c r="HW90" s="64"/>
      <c r="HX90" s="64"/>
      <c r="HY90" s="64"/>
      <c r="HZ90" s="64"/>
      <c r="IA90" s="64"/>
      <c r="IB90" s="64"/>
      <c r="IC90" s="64"/>
      <c r="ID90" s="64"/>
      <c r="IE90" s="64"/>
      <c r="IF90" s="64"/>
      <c r="IG90" s="64"/>
      <c r="IH90" s="64"/>
      <c r="II90" s="64"/>
      <c r="IJ90" s="64"/>
      <c r="IK90" s="64"/>
      <c r="IL90" s="64"/>
      <c r="IM90" s="64"/>
      <c r="IN90" s="64"/>
      <c r="IO90" s="64"/>
      <c r="IP90" s="64"/>
      <c r="IQ90" s="64"/>
      <c r="IR90" s="64"/>
      <c r="IS90" s="64"/>
      <c r="IT90" s="64"/>
      <c r="IU90" s="64"/>
      <c r="IV90" s="64"/>
      <c r="IW90" s="64"/>
    </row>
    <row r="91" customFormat="false" ht="13.5" hidden="false" customHeight="true" outlineLevel="0" collapsed="false">
      <c r="A91" s="72"/>
      <c r="B91" s="73"/>
      <c r="C91" s="74"/>
      <c r="D91" s="75"/>
      <c r="E91" s="76"/>
      <c r="F91" s="77"/>
      <c r="G91" s="78"/>
      <c r="H91" s="79"/>
      <c r="I91" s="80"/>
    </row>
    <row r="92" customFormat="false" ht="12.75" hidden="false" customHeight="true" outlineLevel="0" collapsed="false">
      <c r="A92" s="44" t="s">
        <v>35</v>
      </c>
      <c r="B92" s="45"/>
      <c r="C92" s="46" t="n">
        <f aca="false">GrossMargin!C92-Expenses!C92</f>
        <v>-8803</v>
      </c>
      <c r="D92" s="47" t="n">
        <f aca="false">GrossMargin!D92-Expenses!D92</f>
        <v>10712</v>
      </c>
      <c r="E92" s="47" t="n">
        <f aca="false">GrossMargin!E92-Expenses!E92</f>
        <v>0</v>
      </c>
      <c r="F92" s="47" t="n">
        <f aca="false">GrossMargin!F92-Expenses!F92</f>
        <v>0</v>
      </c>
      <c r="G92" s="46" t="n">
        <f aca="false">SUM(C92:F92)</f>
        <v>1909</v>
      </c>
      <c r="H92" s="61" t="n">
        <f aca="false">GrossMargin!H92-Expenses!H92</f>
        <v>20582</v>
      </c>
      <c r="I92" s="62" t="n">
        <f aca="false">G92-H92</f>
        <v>-18673</v>
      </c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  <c r="HH92" s="64"/>
      <c r="HI92" s="64"/>
      <c r="HJ92" s="64"/>
      <c r="HK92" s="64"/>
      <c r="HL92" s="64"/>
      <c r="HM92" s="64"/>
      <c r="HN92" s="64"/>
      <c r="HO92" s="64"/>
      <c r="HP92" s="64"/>
      <c r="HQ92" s="64"/>
      <c r="HR92" s="64"/>
      <c r="HS92" s="64"/>
      <c r="HT92" s="64"/>
      <c r="HU92" s="64"/>
      <c r="HV92" s="64"/>
      <c r="HW92" s="64"/>
      <c r="HX92" s="64"/>
      <c r="HY92" s="64"/>
      <c r="HZ92" s="64"/>
      <c r="IA92" s="64"/>
      <c r="IB92" s="64"/>
      <c r="IC92" s="64"/>
      <c r="ID92" s="64"/>
      <c r="IE92" s="64"/>
      <c r="IF92" s="64"/>
      <c r="IG92" s="64"/>
      <c r="IH92" s="64"/>
      <c r="II92" s="64"/>
      <c r="IJ92" s="64"/>
      <c r="IK92" s="64"/>
      <c r="IL92" s="64"/>
      <c r="IM92" s="64"/>
      <c r="IN92" s="64"/>
      <c r="IO92" s="64"/>
      <c r="IP92" s="64"/>
      <c r="IQ92" s="64"/>
      <c r="IR92" s="64"/>
      <c r="IS92" s="64"/>
      <c r="IT92" s="64"/>
      <c r="IU92" s="64"/>
      <c r="IV92" s="64"/>
      <c r="IW92" s="64"/>
    </row>
    <row r="93" customFormat="false" ht="12" hidden="false" customHeight="true" outlineLevel="0" collapsed="false">
      <c r="A93" s="72"/>
      <c r="B93" s="73"/>
      <c r="C93" s="81"/>
      <c r="D93" s="2"/>
      <c r="E93" s="82"/>
      <c r="F93" s="80"/>
      <c r="G93" s="78"/>
      <c r="H93" s="79"/>
      <c r="I93" s="80"/>
    </row>
    <row r="94" customFormat="false" ht="12.75" hidden="false" customHeight="true" outlineLevel="0" collapsed="false">
      <c r="A94" s="44" t="s">
        <v>36</v>
      </c>
      <c r="B94" s="45"/>
      <c r="C94" s="46" t="n">
        <f aca="false">C90+C92</f>
        <v>847863</v>
      </c>
      <c r="D94" s="47" t="n">
        <f aca="false">D90+D92</f>
        <v>1239115</v>
      </c>
      <c r="E94" s="47" t="n">
        <f aca="false">E90+E92</f>
        <v>660453</v>
      </c>
      <c r="F94" s="62" t="n">
        <f aca="false">F90+F92</f>
        <v>53289.65</v>
      </c>
      <c r="G94" s="47" t="n">
        <f aca="false">G90+G92</f>
        <v>2800720.65</v>
      </c>
      <c r="H94" s="61" t="n">
        <f aca="false">H90+H92</f>
        <v>923881</v>
      </c>
      <c r="I94" s="62" t="n">
        <f aca="false">I90+I92</f>
        <v>1876839.65</v>
      </c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  <c r="HH94" s="64"/>
      <c r="HI94" s="64"/>
      <c r="HJ94" s="64"/>
      <c r="HK94" s="64"/>
      <c r="HL94" s="64"/>
      <c r="HM94" s="64"/>
      <c r="HN94" s="64"/>
      <c r="HO94" s="64"/>
      <c r="HP94" s="64"/>
      <c r="HQ94" s="64"/>
      <c r="HR94" s="64"/>
      <c r="HS94" s="64"/>
      <c r="HT94" s="64"/>
      <c r="HU94" s="64"/>
      <c r="HV94" s="64"/>
      <c r="HW94" s="64"/>
      <c r="HX94" s="64"/>
      <c r="HY94" s="64"/>
      <c r="HZ94" s="64"/>
      <c r="IA94" s="64"/>
      <c r="IB94" s="64"/>
      <c r="IC94" s="64"/>
      <c r="ID94" s="64"/>
      <c r="IE94" s="64"/>
      <c r="IF94" s="64"/>
      <c r="IG94" s="64"/>
      <c r="IH94" s="64"/>
      <c r="II94" s="64"/>
      <c r="IJ94" s="64"/>
      <c r="IK94" s="64"/>
      <c r="IL94" s="64"/>
      <c r="IM94" s="64"/>
      <c r="IN94" s="64"/>
      <c r="IO94" s="64"/>
      <c r="IP94" s="64"/>
      <c r="IQ94" s="64"/>
      <c r="IR94" s="64"/>
      <c r="IS94" s="64"/>
      <c r="IT94" s="64"/>
      <c r="IU94" s="64"/>
      <c r="IV94" s="64"/>
      <c r="IW94" s="64"/>
    </row>
    <row r="95" customFormat="false" ht="13.5" hidden="true" customHeight="false" outlineLevel="0" collapsed="false">
      <c r="A95" s="66" t="s">
        <v>37</v>
      </c>
      <c r="B95" s="73"/>
      <c r="C95" s="35" t="n">
        <f aca="false">GrossMargin!C92-Expenses!C97-'Cap Charge'!C92</f>
        <v>-43524</v>
      </c>
      <c r="D95" s="2" t="n">
        <f aca="false">GrossMargin!D92-Expenses!D97-'Cap Charge'!D92</f>
        <v>12109</v>
      </c>
      <c r="E95" s="2" t="n">
        <f aca="false">GrossMargin!E92-Expenses!E97-'Cap Charge'!E92</f>
        <v>-28772</v>
      </c>
      <c r="F95" s="37" t="n">
        <f aca="false">GrossMargin!F92-Expenses!F97-'Cap Charge'!F92</f>
        <v>-25828</v>
      </c>
      <c r="G95" s="83" t="n">
        <f aca="false">GrossMargin!G92-Expenses!G97-'Cap Charge'!G92</f>
        <v>-86015</v>
      </c>
      <c r="H95" s="41" t="n">
        <f aca="false">GrossMargin!H92-Expenses!H97-'Cap Charge'!H92</f>
        <v>-70284</v>
      </c>
      <c r="I95" s="54" t="n">
        <f aca="false">H95-G95</f>
        <v>15731</v>
      </c>
      <c r="J95" s="3"/>
    </row>
    <row r="96" customFormat="false" ht="14.25" hidden="true" customHeight="false" outlineLevel="0" collapsed="false">
      <c r="A96" s="44" t="s">
        <v>38</v>
      </c>
      <c r="B96" s="73"/>
      <c r="C96" s="84" t="n">
        <f aca="false">C90+C95</f>
        <v>813142</v>
      </c>
      <c r="D96" s="85" t="n">
        <f aca="false">D90+D95</f>
        <v>1240512</v>
      </c>
      <c r="E96" s="85" t="n">
        <f aca="false">E90+E95</f>
        <v>631681</v>
      </c>
      <c r="F96" s="86" t="n">
        <f aca="false">F90+F95</f>
        <v>27461.65</v>
      </c>
      <c r="G96" s="87" t="n">
        <f aca="false">G90+G95</f>
        <v>2712796.65</v>
      </c>
      <c r="H96" s="88" t="n">
        <f aca="false">H90+H95</f>
        <v>833015</v>
      </c>
      <c r="I96" s="89" t="n">
        <f aca="false">I90+I95</f>
        <v>1911243.65</v>
      </c>
      <c r="J96" s="3"/>
    </row>
    <row r="97" customFormat="false" ht="3" hidden="false" customHeight="true" outlineLevel="0" collapsed="false">
      <c r="A97" s="72"/>
      <c r="C97" s="67"/>
      <c r="D97" s="2"/>
      <c r="E97" s="72"/>
      <c r="H97" s="78"/>
    </row>
    <row r="98" customFormat="false" ht="12.75" hidden="false" customHeight="false" outlineLevel="0" collapsed="false">
      <c r="H98" s="78"/>
    </row>
    <row r="99" customFormat="false" ht="12.75" hidden="false" customHeight="false" outlineLevel="0" collapsed="false">
      <c r="H99" s="78"/>
    </row>
    <row r="100" customFormat="false" ht="12.75" hidden="false" customHeight="false" outlineLevel="0" collapsed="false">
      <c r="H100" s="78"/>
    </row>
    <row r="101" customFormat="false" ht="12.75" hidden="false" customHeight="false" outlineLevel="0" collapsed="false">
      <c r="A101" s="1" t="s">
        <v>39</v>
      </c>
      <c r="H101" s="78"/>
    </row>
  </sheetData>
  <mergeCells count="7">
    <mergeCell ref="A2:I2"/>
    <mergeCell ref="A3:I3"/>
    <mergeCell ref="A4:I4"/>
    <mergeCell ref="A5:I5"/>
    <mergeCell ref="A7:A8"/>
    <mergeCell ref="C7:F8"/>
    <mergeCell ref="G7:I8"/>
  </mergeCells>
  <printOptions headings="false" gridLines="false" gridLinesSet="true" horizontalCentered="true" verticalCentered="false"/>
  <pageMargins left="0.25" right="0.25" top="0.2" bottom="0.179861111111111" header="0.511811023622047" footer="0.179861111111111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BM10" activePane="bottomLeft" state="frozen"/>
      <selection pane="topLeft" activeCell="A1" activeCellId="0" sqref="A1"/>
      <selection pane="bottomLeft" activeCell="A6" activeCellId="0" sqref="A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3" min="3" style="2" width="8.7"/>
    <col collapsed="false" customWidth="true" hidden="false" outlineLevel="0" max="4" min="4" style="1" width="8.7"/>
    <col collapsed="false" customWidth="true" hidden="false" outlineLevel="0" max="5" min="5" style="1" width="8.56"/>
    <col collapsed="false" customWidth="true" hidden="false" outlineLevel="0" max="6" min="6" style="3" width="9.28"/>
    <col collapsed="false" customWidth="true" hidden="false" outlineLevel="0" max="8" min="7" style="3" width="8.7"/>
    <col collapsed="false" customWidth="true" hidden="false" outlineLevel="0" max="9" min="9" style="3" width="8.85"/>
    <col collapsed="false" customWidth="true" hidden="false" outlineLevel="0" max="10" min="10" style="1" width="0.85"/>
    <col collapsed="false" customWidth="true" hidden="false" outlineLevel="0" max="11" min="11" style="1" width="8.7"/>
    <col collapsed="false" customWidth="true" hidden="false" outlineLevel="0" max="15" min="12" style="1" width="7.7"/>
    <col collapsed="false" customWidth="true" hidden="false" outlineLevel="0" max="17" min="16" style="1" width="8.7"/>
    <col collapsed="false" customWidth="true" hidden="false" outlineLevel="0" max="18" min="18" style="1" width="0.85"/>
    <col collapsed="false" customWidth="false" hidden="false" outlineLevel="0" max="257" min="19" style="1" width="9.14"/>
  </cols>
  <sheetData>
    <row r="1" customFormat="false" ht="9.95" hidden="false" customHeight="true" outlineLevel="0" collapsed="false">
      <c r="A1" s="0"/>
      <c r="B1" s="0"/>
      <c r="C1" s="4"/>
      <c r="D1" s="0"/>
      <c r="E1" s="0"/>
      <c r="F1" s="5"/>
      <c r="G1" s="5"/>
      <c r="H1" s="5"/>
      <c r="I1" s="5"/>
      <c r="J1" s="0"/>
      <c r="K1" s="0"/>
      <c r="L1" s="0"/>
      <c r="M1" s="0"/>
      <c r="N1" s="0"/>
      <c r="O1" s="0"/>
      <c r="P1" s="0"/>
      <c r="Q1" s="0"/>
      <c r="R1" s="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9.25" hidden="false" customHeight="true" outlineLevel="0" collapsed="false">
      <c r="A2" s="8" t="s">
        <v>0</v>
      </c>
      <c r="B2" s="8"/>
      <c r="C2" s="8"/>
      <c r="D2" s="8"/>
      <c r="E2" s="8"/>
      <c r="F2" s="8"/>
      <c r="G2" s="8"/>
      <c r="H2" s="8"/>
      <c r="I2" s="8"/>
      <c r="J2" s="9"/>
      <c r="K2" s="9"/>
      <c r="L2" s="9"/>
      <c r="M2" s="9"/>
      <c r="N2" s="9"/>
      <c r="O2" s="9"/>
      <c r="P2" s="9"/>
      <c r="Q2" s="10"/>
      <c r="R2" s="1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true" outlineLevel="0" collapsed="false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0"/>
      <c r="K3" s="0"/>
      <c r="L3" s="0"/>
      <c r="M3" s="0"/>
      <c r="N3" s="0"/>
      <c r="O3" s="0"/>
      <c r="P3" s="0"/>
      <c r="Q3" s="7"/>
      <c r="R3" s="11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15.75" hidden="false" customHeight="true" outlineLevel="0" collapsed="false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0"/>
      <c r="K4" s="0"/>
      <c r="L4" s="0"/>
      <c r="M4" s="0"/>
      <c r="N4" s="0"/>
      <c r="O4" s="0"/>
      <c r="P4" s="0"/>
      <c r="Q4" s="7"/>
      <c r="R4" s="11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5.75" hidden="false" customHeight="true" outlineLevel="0" collapsed="false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0"/>
      <c r="K5" s="0"/>
      <c r="L5" s="0"/>
      <c r="M5" s="0"/>
      <c r="N5" s="0"/>
      <c r="O5" s="0"/>
      <c r="P5" s="0"/>
      <c r="Q5" s="7"/>
      <c r="R5" s="11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0"/>
      <c r="B6" s="0"/>
      <c r="C6" s="4"/>
      <c r="D6" s="0"/>
      <c r="E6" s="0"/>
      <c r="F6" s="5"/>
      <c r="G6" s="5"/>
      <c r="H6" s="5"/>
      <c r="I6" s="5"/>
      <c r="J6" s="0"/>
      <c r="K6" s="0"/>
      <c r="L6" s="0"/>
      <c r="M6" s="0"/>
      <c r="N6" s="0"/>
      <c r="O6" s="0"/>
      <c r="P6" s="0"/>
      <c r="Q6" s="0"/>
      <c r="R6" s="13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4" t="s">
        <v>4</v>
      </c>
      <c r="B7" s="15"/>
      <c r="C7" s="16" t="s">
        <v>41</v>
      </c>
      <c r="D7" s="16"/>
      <c r="E7" s="16"/>
      <c r="F7" s="16"/>
      <c r="G7" s="17" t="s">
        <v>6</v>
      </c>
      <c r="H7" s="17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0.5" hidden="false" customHeight="true" outlineLevel="0" collapsed="false">
      <c r="A8" s="14"/>
      <c r="B8" s="19"/>
      <c r="C8" s="16"/>
      <c r="D8" s="16"/>
      <c r="E8" s="16"/>
      <c r="F8" s="16"/>
      <c r="G8" s="17"/>
      <c r="H8" s="17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47.25" hidden="false" customHeight="true" outlineLevel="0" collapsed="false">
      <c r="A9" s="20"/>
      <c r="B9" s="21"/>
      <c r="C9" s="22" t="s">
        <v>7</v>
      </c>
      <c r="D9" s="23" t="s">
        <v>8</v>
      </c>
      <c r="E9" s="24" t="s">
        <v>9</v>
      </c>
      <c r="F9" s="25" t="s">
        <v>10</v>
      </c>
      <c r="G9" s="26" t="s">
        <v>42</v>
      </c>
      <c r="H9" s="25" t="s">
        <v>12</v>
      </c>
      <c r="I9" s="27" t="s">
        <v>13</v>
      </c>
    </row>
    <row r="10" customFormat="false" ht="12.75" hidden="false" customHeight="true" outlineLevel="0" collapsed="false">
      <c r="A10" s="28" t="str">
        <f aca="false">'[1]QTD Mgmt Summary'!A9</f>
        <v>Northeast Trading (Davis)</v>
      </c>
      <c r="B10" s="29"/>
      <c r="C10" s="30" t="n">
        <v>29328</v>
      </c>
      <c r="D10" s="30" t="n">
        <v>124775</v>
      </c>
      <c r="E10" s="30" t="n">
        <v>16103</v>
      </c>
      <c r="F10" s="30" t="n">
        <v>12500</v>
      </c>
      <c r="G10" s="31" t="n">
        <f aca="false">SUM(C10:F10)</f>
        <v>182706</v>
      </c>
      <c r="H10" s="30" t="n">
        <v>50000</v>
      </c>
      <c r="I10" s="33" t="n">
        <f aca="false">G10-H10</f>
        <v>132706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2.75" hidden="false" customHeight="true" outlineLevel="0" collapsed="false">
      <c r="A11" s="28" t="str">
        <f aca="false">'[1]QTD Mgmt Summary'!A10</f>
        <v>Northeast Origination (Llodra)</v>
      </c>
      <c r="B11" s="29"/>
      <c r="C11" s="35" t="n">
        <v>9710</v>
      </c>
      <c r="D11" s="2" t="n">
        <v>-225</v>
      </c>
      <c r="E11" s="2" t="n">
        <v>304</v>
      </c>
      <c r="F11" s="2" t="n">
        <v>0</v>
      </c>
      <c r="G11" s="35" t="n">
        <f aca="false">SUM(C11:F11)</f>
        <v>9789</v>
      </c>
      <c r="H11" s="2" t="n">
        <v>30000</v>
      </c>
      <c r="I11" s="37" t="n">
        <f aca="false">G11-H11</f>
        <v>-20211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12.75" hidden="false" customHeight="true" outlineLevel="0" collapsed="false">
      <c r="A12" s="28" t="str">
        <f aca="false">'[1]QTD Mgmt Summary'!A11</f>
        <v>Midwest Trading (Sturm)</v>
      </c>
      <c r="B12" s="38"/>
      <c r="C12" s="39" t="n">
        <v>782</v>
      </c>
      <c r="D12" s="2" t="n">
        <v>125001</v>
      </c>
      <c r="E12" s="2" t="n">
        <v>-31008</v>
      </c>
      <c r="F12" s="40" t="n">
        <v>12500</v>
      </c>
      <c r="G12" s="39" t="n">
        <f aca="false">SUM(C12:F12)</f>
        <v>107275</v>
      </c>
      <c r="H12" s="55" t="n">
        <v>50000</v>
      </c>
      <c r="I12" s="37" t="n">
        <f aca="false">G12-H12</f>
        <v>57275</v>
      </c>
    </row>
    <row r="13" customFormat="false" ht="12.75" hidden="false" customHeight="true" outlineLevel="0" collapsed="false">
      <c r="A13" s="28" t="str">
        <f aca="false">'[1]QTD Mgmt Summary'!A12</f>
        <v>Midwest Origination (Baughman)</v>
      </c>
      <c r="B13" s="38"/>
      <c r="C13" s="39" t="n">
        <v>1627</v>
      </c>
      <c r="D13" s="2" t="n">
        <v>3252</v>
      </c>
      <c r="E13" s="2" t="n">
        <v>307</v>
      </c>
      <c r="F13" s="40" t="n">
        <v>0</v>
      </c>
      <c r="G13" s="39" t="n">
        <f aca="false">SUM(C13:F13)</f>
        <v>5186</v>
      </c>
      <c r="H13" s="55" t="n">
        <v>30000</v>
      </c>
      <c r="I13" s="37" t="n">
        <f aca="false">G13-H13</f>
        <v>-24814</v>
      </c>
    </row>
    <row r="14" customFormat="false" ht="12.75" hidden="false" customHeight="true" outlineLevel="0" collapsed="false">
      <c r="A14" s="28" t="str">
        <f aca="false">'[1]QTD Mgmt Summary'!A13</f>
        <v>Southeast Trading (Carson) </v>
      </c>
      <c r="B14" s="38"/>
      <c r="C14" s="39" t="n">
        <v>9837</v>
      </c>
      <c r="D14" s="2" t="n">
        <f aca="false">1110-50</f>
        <v>1060</v>
      </c>
      <c r="E14" s="2" t="n">
        <v>-2750</v>
      </c>
      <c r="F14" s="40" t="n">
        <v>7500</v>
      </c>
      <c r="G14" s="39" t="n">
        <f aca="false">SUM(C14:F14)</f>
        <v>15647</v>
      </c>
      <c r="H14" s="55" t="n">
        <v>50000</v>
      </c>
      <c r="I14" s="37" t="n">
        <f aca="false">G14-H14</f>
        <v>-34353</v>
      </c>
    </row>
    <row r="15" customFormat="false" ht="12.75" hidden="false" customHeight="true" outlineLevel="0" collapsed="false">
      <c r="A15" s="28" t="str">
        <f aca="false">'[1]QTD Mgmt Summary'!A14</f>
        <v>Southeast Orig (Kroll) </v>
      </c>
      <c r="B15" s="38"/>
      <c r="C15" s="39" t="n">
        <f aca="false">364+7261</f>
        <v>7625</v>
      </c>
      <c r="D15" s="2" t="n">
        <v>428</v>
      </c>
      <c r="E15" s="2" t="n">
        <v>1696</v>
      </c>
      <c r="F15" s="40" t="n">
        <v>0</v>
      </c>
      <c r="G15" s="39" t="n">
        <f aca="false">SUM(C15:F15)</f>
        <v>9749</v>
      </c>
      <c r="H15" s="55" t="n">
        <v>30000</v>
      </c>
      <c r="I15" s="37" t="n">
        <f aca="false">G15-H15</f>
        <v>-20251</v>
      </c>
    </row>
    <row r="16" customFormat="false" ht="12.75" hidden="false" customHeight="true" outlineLevel="0" collapsed="false">
      <c r="A16" s="28" t="str">
        <f aca="false">'[1]QTD Mgmt Summary'!A15</f>
        <v>ERCOT Trading (Curry)</v>
      </c>
      <c r="B16" s="38"/>
      <c r="C16" s="39" t="n">
        <v>3099</v>
      </c>
      <c r="D16" s="2" t="n">
        <v>2911</v>
      </c>
      <c r="E16" s="2" t="n">
        <v>21305</v>
      </c>
      <c r="F16" s="40" t="n">
        <v>4375</v>
      </c>
      <c r="G16" s="39" t="n">
        <f aca="false">SUM(C16:F16)</f>
        <v>31690</v>
      </c>
      <c r="H16" s="55" t="n">
        <v>17500</v>
      </c>
      <c r="I16" s="37" t="n">
        <f aca="false">G16-H16</f>
        <v>14190</v>
      </c>
    </row>
    <row r="17" customFormat="false" ht="12.75" hidden="false" customHeight="true" outlineLevel="0" collapsed="false">
      <c r="A17" s="28" t="str">
        <f aca="false">'[1]QTD Mgmt Summary'!A16</f>
        <v>ERCOT Orig (Curry/Smith)</v>
      </c>
      <c r="B17" s="38"/>
      <c r="C17" s="39" t="n">
        <v>203</v>
      </c>
      <c r="D17" s="2" t="n">
        <v>2189</v>
      </c>
      <c r="E17" s="2" t="n">
        <v>18070</v>
      </c>
      <c r="F17" s="40" t="n">
        <v>0</v>
      </c>
      <c r="G17" s="39" t="n">
        <f aca="false">SUM(C17:F17)</f>
        <v>20462</v>
      </c>
      <c r="H17" s="55" t="n">
        <v>17500</v>
      </c>
      <c r="I17" s="37" t="n">
        <f aca="false">G17-H17</f>
        <v>2962</v>
      </c>
    </row>
    <row r="18" customFormat="false" ht="12.75" hidden="false" customHeight="true" outlineLevel="0" collapsed="false">
      <c r="A18" s="28" t="str">
        <f aca="false">'[1]QTD Mgmt Summary'!A17</f>
        <v>Options (Arora)</v>
      </c>
      <c r="B18" s="38"/>
      <c r="C18" s="39" t="n">
        <v>-54</v>
      </c>
      <c r="D18" s="2" t="n">
        <v>22157</v>
      </c>
      <c r="E18" s="2" t="n">
        <v>1764</v>
      </c>
      <c r="F18" s="40" t="n">
        <v>0</v>
      </c>
      <c r="G18" s="39" t="n">
        <f aca="false">SUM(C18:F18)</f>
        <v>23867</v>
      </c>
      <c r="H18" s="55" t="n">
        <v>0</v>
      </c>
      <c r="I18" s="37" t="n">
        <f aca="false">G18-H18</f>
        <v>23867</v>
      </c>
    </row>
    <row r="19" customFormat="false" ht="12.75" hidden="false" customHeight="true" outlineLevel="0" collapsed="false">
      <c r="A19" s="28" t="str">
        <f aca="false">'[1]QTD Mgmt Summary'!A18</f>
        <v>Management  Book (Presto)</v>
      </c>
      <c r="B19" s="38"/>
      <c r="C19" s="39" t="n">
        <v>-2347</v>
      </c>
      <c r="D19" s="2" t="n">
        <v>80975</v>
      </c>
      <c r="E19" s="2" t="n">
        <v>-34244</v>
      </c>
      <c r="F19" s="40" t="n">
        <v>1250</v>
      </c>
      <c r="G19" s="39" t="n">
        <f aca="false">SUM(C19:F19)</f>
        <v>45634</v>
      </c>
      <c r="H19" s="55" t="n">
        <v>5000</v>
      </c>
      <c r="I19" s="37" t="n">
        <f aca="false">G19-H19</f>
        <v>40634</v>
      </c>
    </row>
    <row r="20" customFormat="false" ht="12.75" hidden="false" customHeight="true" outlineLevel="0" collapsed="false">
      <c r="A20" s="28" t="str">
        <f aca="false">'[1]QTD Mgmt Summary'!A19</f>
        <v>Services (Will)</v>
      </c>
      <c r="B20" s="38"/>
      <c r="C20" s="39" t="n">
        <v>0</v>
      </c>
      <c r="D20" s="2" t="n">
        <v>1190</v>
      </c>
      <c r="E20" s="2" t="n">
        <v>214</v>
      </c>
      <c r="F20" s="40" t="n">
        <v>0</v>
      </c>
      <c r="G20" s="39" t="n">
        <f aca="false">SUM(C20:F20)</f>
        <v>1404</v>
      </c>
      <c r="H20" s="55" t="n">
        <v>0</v>
      </c>
      <c r="I20" s="37" t="n">
        <f aca="false">G20-H20</f>
        <v>1404</v>
      </c>
    </row>
    <row r="21" customFormat="false" ht="12.75" hidden="false" customHeight="true" outlineLevel="0" collapsed="false">
      <c r="A21" s="28" t="str">
        <f aca="false">'[1]QTD Mgmt Summary'!A20</f>
        <v>Development (Jacoby)</v>
      </c>
      <c r="B21" s="38"/>
      <c r="C21" s="39" t="n">
        <v>5711</v>
      </c>
      <c r="D21" s="2" t="n">
        <v>8484</v>
      </c>
      <c r="E21" s="2" t="n">
        <v>2580</v>
      </c>
      <c r="F21" s="40" t="n">
        <v>6000</v>
      </c>
      <c r="G21" s="39" t="n">
        <f aca="false">SUM(C21:F21)</f>
        <v>22775</v>
      </c>
      <c r="H21" s="55" t="n">
        <v>24000</v>
      </c>
      <c r="I21" s="37" t="n">
        <f aca="false">G21-H21</f>
        <v>-1225</v>
      </c>
    </row>
    <row r="22" customFormat="false" ht="12.75" hidden="false" customHeight="true" outlineLevel="0" collapsed="false">
      <c r="A22" s="28" t="str">
        <f aca="false">'[1]QTD Mgmt Summary'!A21</f>
        <v>Generation Investments (Duran)</v>
      </c>
      <c r="B22" s="38"/>
      <c r="C22" s="39" t="n">
        <v>10955</v>
      </c>
      <c r="D22" s="2" t="n">
        <v>3276</v>
      </c>
      <c r="E22" s="2" t="n">
        <v>-5677</v>
      </c>
      <c r="F22" s="40" t="n">
        <v>20000</v>
      </c>
      <c r="G22" s="39" t="n">
        <f aca="false">SUM(C22:F22)</f>
        <v>28554</v>
      </c>
      <c r="H22" s="55" t="n">
        <v>80000</v>
      </c>
      <c r="I22" s="37" t="n">
        <f aca="false">G22-H22</f>
        <v>-51446</v>
      </c>
    </row>
    <row r="23" customFormat="false" ht="12.75" hidden="false" customHeight="true" outlineLevel="0" collapsed="false">
      <c r="A23" s="28" t="str">
        <f aca="false">'[1]QTD Mgmt Summary'!A22</f>
        <v>Structuring/Fundamentals (Meyn/Will)</v>
      </c>
      <c r="B23" s="38"/>
      <c r="C23" s="39" t="n">
        <v>0</v>
      </c>
      <c r="D23" s="2" t="n">
        <v>0</v>
      </c>
      <c r="E23" s="2" t="n">
        <v>0</v>
      </c>
      <c r="F23" s="40"/>
      <c r="G23" s="42" t="n">
        <f aca="false">SUM(C23:F23)</f>
        <v>0</v>
      </c>
      <c r="H23" s="90" t="n">
        <v>0</v>
      </c>
      <c r="I23" s="37" t="n">
        <f aca="false">G23-H23</f>
        <v>0</v>
      </c>
    </row>
    <row r="24" customFormat="false" ht="12.75" hidden="false" customHeight="true" outlineLevel="0" collapsed="false">
      <c r="A24" s="44" t="s">
        <v>14</v>
      </c>
      <c r="B24" s="45"/>
      <c r="C24" s="46" t="n">
        <f aca="false">SUM(C10:C23)</f>
        <v>76476</v>
      </c>
      <c r="D24" s="47" t="n">
        <f aca="false">SUM(D10:D23)</f>
        <v>375473</v>
      </c>
      <c r="E24" s="47" t="n">
        <v>-11336</v>
      </c>
      <c r="F24" s="48" t="n">
        <f aca="false">SUM(F10:F23)</f>
        <v>64125</v>
      </c>
      <c r="G24" s="49" t="n">
        <f aca="false">SUM(G10:G23)</f>
        <v>504738</v>
      </c>
      <c r="H24" s="48" t="n">
        <v>384000</v>
      </c>
      <c r="I24" s="51" t="n">
        <f aca="false">SUM(I10:I23)</f>
        <v>120738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</row>
    <row r="25" customFormat="false" ht="12.75" hidden="false" customHeight="true" outlineLevel="0" collapsed="false">
      <c r="A25" s="28" t="str">
        <f aca="false">'[1]QTD Mgmt Summary'!A24</f>
        <v>Trading (Belden)</v>
      </c>
      <c r="B25" s="19"/>
      <c r="C25" s="35" t="n">
        <v>360460</v>
      </c>
      <c r="D25" s="40" t="n">
        <v>215662</v>
      </c>
      <c r="E25" s="2" t="n">
        <v>156011</v>
      </c>
      <c r="F25" s="40" t="n">
        <v>62501</v>
      </c>
      <c r="G25" s="53" t="n">
        <f aca="false">SUM(C25:F25)</f>
        <v>794634</v>
      </c>
      <c r="H25" s="55" t="n">
        <v>250000</v>
      </c>
      <c r="I25" s="54" t="n">
        <f aca="false">G25-H25</f>
        <v>544634</v>
      </c>
    </row>
    <row r="26" customFormat="false" ht="12.75" hidden="false" customHeight="true" outlineLevel="0" collapsed="false">
      <c r="A26" s="28" t="str">
        <f aca="false">'[1]QTD Mgmt Summary'!A25</f>
        <v>Services (Foster/Wolfe)</v>
      </c>
      <c r="B26" s="19"/>
      <c r="C26" s="35" t="n">
        <v>0</v>
      </c>
      <c r="D26" s="40" t="n">
        <v>0</v>
      </c>
      <c r="E26" s="2" t="n">
        <v>0</v>
      </c>
      <c r="F26" s="40" t="n">
        <v>0</v>
      </c>
      <c r="G26" s="53" t="n">
        <f aca="false">SUM(C26:F26)</f>
        <v>0</v>
      </c>
      <c r="H26" s="55" t="n">
        <v>0</v>
      </c>
      <c r="I26" s="54" t="n">
        <f aca="false">G26-H26</f>
        <v>0</v>
      </c>
    </row>
    <row r="27" customFormat="false" ht="12.75" hidden="false" customHeight="true" outlineLevel="0" collapsed="false">
      <c r="A27" s="28" t="str">
        <f aca="false">'[1]QTD Mgmt Summary'!A26</f>
        <v>Middle Market Originations (Foster)</v>
      </c>
      <c r="B27" s="19"/>
      <c r="C27" s="35" t="n">
        <v>10647</v>
      </c>
      <c r="D27" s="40" t="n">
        <v>26994</v>
      </c>
      <c r="E27" s="2" t="n">
        <v>14774</v>
      </c>
      <c r="F27" s="40" t="n">
        <v>0</v>
      </c>
      <c r="G27" s="53" t="n">
        <f aca="false">SUM(C27:F27)</f>
        <v>52415</v>
      </c>
      <c r="H27" s="55" t="n">
        <v>50000</v>
      </c>
      <c r="I27" s="54" t="n">
        <f aca="false">G27-H27</f>
        <v>2415</v>
      </c>
    </row>
    <row r="28" customFormat="false" ht="12.75" hidden="false" customHeight="true" outlineLevel="0" collapsed="false">
      <c r="A28" s="28" t="str">
        <f aca="false">'[1]QTD Mgmt Summary'!A27</f>
        <v>Orginations (Thomas/McDonald)</v>
      </c>
      <c r="B28" s="19"/>
      <c r="C28" s="35" t="n">
        <v>733</v>
      </c>
      <c r="D28" s="40" t="n">
        <v>38361</v>
      </c>
      <c r="E28" s="2" t="n">
        <v>5328</v>
      </c>
      <c r="F28" s="40" t="n">
        <v>0</v>
      </c>
      <c r="G28" s="53" t="n">
        <f aca="false">SUM(C28:F28)</f>
        <v>44422</v>
      </c>
      <c r="H28" s="55" t="n">
        <v>62988</v>
      </c>
      <c r="I28" s="54" t="n">
        <f aca="false">G28-H28</f>
        <v>-18566</v>
      </c>
    </row>
    <row r="29" customFormat="false" ht="12.75" hidden="false" customHeight="true" outlineLevel="0" collapsed="false">
      <c r="A29" s="28" t="str">
        <f aca="false">'[1]QTD Mgmt Summary'!A28</f>
        <v>Executive (Calger)</v>
      </c>
      <c r="B29" s="19"/>
      <c r="C29" s="35" t="n">
        <v>-5195</v>
      </c>
      <c r="D29" s="40" t="n">
        <v>10500</v>
      </c>
      <c r="E29" s="2" t="n">
        <v>755</v>
      </c>
      <c r="F29" s="40" t="n">
        <v>5250</v>
      </c>
      <c r="G29" s="53" t="n">
        <f aca="false">SUM(C29:F29)</f>
        <v>11310</v>
      </c>
      <c r="H29" s="55" t="n">
        <v>14000</v>
      </c>
      <c r="I29" s="54" t="n">
        <f aca="false">G29-H29</f>
        <v>-2690</v>
      </c>
    </row>
    <row r="30" customFormat="false" ht="12.75" hidden="false" customHeight="true" outlineLevel="0" collapsed="false">
      <c r="A30" s="28" t="str">
        <f aca="false">'[1]QTD Mgmt Summary'!A29</f>
        <v>Generation (Parquet)</v>
      </c>
      <c r="B30" s="19"/>
      <c r="C30" s="35" t="n">
        <v>0</v>
      </c>
      <c r="D30" s="40" t="n">
        <v>56895</v>
      </c>
      <c r="E30" s="2" t="n">
        <v>-454</v>
      </c>
      <c r="F30" s="40" t="n">
        <v>-1001</v>
      </c>
      <c r="G30" s="53" t="n">
        <f aca="false">SUM(C30:F30)</f>
        <v>55440</v>
      </c>
      <c r="H30" s="55" t="n">
        <v>46000</v>
      </c>
      <c r="I30" s="54" t="n">
        <f aca="false">G30-H30</f>
        <v>9440</v>
      </c>
    </row>
    <row r="31" customFormat="false" ht="12.75" hidden="false" customHeight="true" outlineLevel="0" collapsed="false">
      <c r="A31" s="28" t="str">
        <f aca="false">'[1]QTD Mgmt Summary'!A30</f>
        <v>Fundamentals (Heizenreiker)</v>
      </c>
      <c r="B31" s="19"/>
      <c r="C31" s="35" t="n">
        <v>0</v>
      </c>
      <c r="D31" s="55" t="n">
        <v>0</v>
      </c>
      <c r="E31" s="2" t="n">
        <v>0</v>
      </c>
      <c r="F31" s="40" t="n">
        <v>0</v>
      </c>
      <c r="G31" s="53" t="n">
        <f aca="false">SUM(C31:F31)</f>
        <v>0</v>
      </c>
      <c r="H31" s="55" t="n">
        <v>0</v>
      </c>
      <c r="I31" s="54" t="n">
        <f aca="false">G31-H31</f>
        <v>0</v>
      </c>
    </row>
    <row r="32" customFormat="false" ht="12.75" hidden="false" customHeight="true" outlineLevel="0" collapsed="false">
      <c r="A32" s="44" t="s">
        <v>15</v>
      </c>
      <c r="B32" s="45"/>
      <c r="C32" s="46" t="n">
        <f aca="false">SUM(C25:C31)</f>
        <v>366645</v>
      </c>
      <c r="D32" s="47" t="n">
        <f aca="false">SUM(D25:D31)</f>
        <v>348412</v>
      </c>
      <c r="E32" s="47" t="n">
        <v>176414</v>
      </c>
      <c r="F32" s="48" t="n">
        <f aca="false">SUM(F25:F31)</f>
        <v>66750</v>
      </c>
      <c r="G32" s="49" t="n">
        <f aca="false">SUM(G25:G31)</f>
        <v>958221</v>
      </c>
      <c r="H32" s="48" t="n">
        <v>422988</v>
      </c>
      <c r="I32" s="51" t="n">
        <f aca="false">SUM(I25:I31)</f>
        <v>535233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  <c r="IW32" s="52"/>
    </row>
    <row r="33" customFormat="false" ht="12.75" hidden="false" customHeight="true" outlineLevel="0" collapsed="false">
      <c r="A33" s="28" t="str">
        <f aca="false">'[1]QTD Mgmt Summary'!A32</f>
        <v>East Trading (Neal)</v>
      </c>
      <c r="B33" s="19"/>
      <c r="C33" s="35" t="n">
        <v>-56221</v>
      </c>
      <c r="D33" s="40" t="n">
        <v>62960</v>
      </c>
      <c r="E33" s="2" t="n">
        <v>8391</v>
      </c>
      <c r="F33" s="2" t="n">
        <v>15000</v>
      </c>
      <c r="G33" s="56" t="n">
        <f aca="false">SUM(C33:F33)</f>
        <v>30130</v>
      </c>
      <c r="H33" s="55" t="n">
        <v>60000</v>
      </c>
      <c r="I33" s="57" t="n">
        <f aca="false">G33-H33</f>
        <v>-29870</v>
      </c>
    </row>
    <row r="34" customFormat="false" ht="12.75" hidden="false" customHeight="true" outlineLevel="0" collapsed="false">
      <c r="A34" s="28" t="str">
        <f aca="false">'[1]QTD Mgmt Summary'!A33</f>
        <v>East Origination (Vickers)</v>
      </c>
      <c r="B34" s="19"/>
      <c r="C34" s="35" t="n">
        <v>4714</v>
      </c>
      <c r="D34" s="40" t="n">
        <v>4075</v>
      </c>
      <c r="E34" s="2" t="n">
        <v>822</v>
      </c>
      <c r="F34" s="2" t="n">
        <v>0</v>
      </c>
      <c r="G34" s="56" t="n">
        <f aca="false">SUM(C34:F34)</f>
        <v>9611</v>
      </c>
      <c r="H34" s="55" t="n">
        <v>20000</v>
      </c>
      <c r="I34" s="54" t="n">
        <f aca="false">G34-H34</f>
        <v>-10389</v>
      </c>
    </row>
    <row r="35" customFormat="false" ht="12.75" hidden="false" customHeight="true" outlineLevel="0" collapsed="false">
      <c r="A35" s="28" t="str">
        <f aca="false">'[1]QTD Mgmt Summary'!A34</f>
        <v>Central Trading (Shively)</v>
      </c>
      <c r="B35" s="19"/>
      <c r="C35" s="35" t="n">
        <v>-3182</v>
      </c>
      <c r="D35" s="40" t="n">
        <v>174031</v>
      </c>
      <c r="E35" s="2" t="n">
        <v>26978</v>
      </c>
      <c r="F35" s="2" t="n">
        <v>15750</v>
      </c>
      <c r="G35" s="56" t="n">
        <f aca="false">SUM(C35:F35)</f>
        <v>213577</v>
      </c>
      <c r="H35" s="55" t="n">
        <v>63000</v>
      </c>
      <c r="I35" s="57" t="n">
        <f aca="false">G35-H35</f>
        <v>150577</v>
      </c>
    </row>
    <row r="36" customFormat="false" ht="12.75" hidden="false" customHeight="true" outlineLevel="0" collapsed="false">
      <c r="A36" s="28" t="str">
        <f aca="false">'[1]QTD Mgmt Summary'!A35</f>
        <v>Central Origination (Luce)</v>
      </c>
      <c r="B36" s="19"/>
      <c r="C36" s="35" t="n">
        <v>1487</v>
      </c>
      <c r="D36" s="40" t="n">
        <f aca="false">1904-1000</f>
        <v>904</v>
      </c>
      <c r="E36" s="2" t="n">
        <v>2457</v>
      </c>
      <c r="F36" s="2" t="n">
        <v>0</v>
      </c>
      <c r="G36" s="56" t="n">
        <f aca="false">SUM(C36:F36)</f>
        <v>4848</v>
      </c>
      <c r="H36" s="55" t="n">
        <v>17000</v>
      </c>
      <c r="I36" s="54" t="n">
        <f aca="false">G36-H36</f>
        <v>-12152</v>
      </c>
    </row>
    <row r="37" customFormat="false" ht="12.75" hidden="false" customHeight="true" outlineLevel="0" collapsed="false">
      <c r="A37" s="28" t="str">
        <f aca="false">'[1]QTD Mgmt Summary'!A36</f>
        <v>Texas Trading (Martin)</v>
      </c>
      <c r="B37" s="19"/>
      <c r="C37" s="39" t="n">
        <v>56708</v>
      </c>
      <c r="D37" s="55" t="n">
        <v>71976</v>
      </c>
      <c r="E37" s="2" t="n">
        <v>33353</v>
      </c>
      <c r="F37" s="2" t="n">
        <v>10000</v>
      </c>
      <c r="G37" s="56" t="n">
        <f aca="false">SUM(C37:F37)</f>
        <v>172037</v>
      </c>
      <c r="H37" s="55" t="n">
        <v>40000</v>
      </c>
      <c r="I37" s="54" t="n">
        <f aca="false">G37-H37</f>
        <v>132037</v>
      </c>
    </row>
    <row r="38" customFormat="false" ht="12.75" hidden="false" customHeight="true" outlineLevel="0" collapsed="false">
      <c r="A38" s="28" t="str">
        <f aca="false">'[1]QTD Mgmt Summary'!A37</f>
        <v>Texas Origination (Redmond)</v>
      </c>
      <c r="B38" s="19"/>
      <c r="C38" s="39" t="n">
        <v>0</v>
      </c>
      <c r="D38" s="55" t="n">
        <v>0</v>
      </c>
      <c r="E38" s="2" t="n">
        <v>1</v>
      </c>
      <c r="F38" s="40" t="n">
        <v>0</v>
      </c>
      <c r="G38" s="56" t="n">
        <f aca="false">SUM(C38:F38)</f>
        <v>1</v>
      </c>
      <c r="H38" s="55" t="n">
        <v>0</v>
      </c>
      <c r="I38" s="54" t="n">
        <f aca="false">G38-H38</f>
        <v>1</v>
      </c>
    </row>
    <row r="39" customFormat="false" ht="12.75" hidden="false" customHeight="true" outlineLevel="0" collapsed="false">
      <c r="A39" s="28" t="str">
        <f aca="false">'[1]QTD Mgmt Summary'!A38</f>
        <v>West Trading (Allen)</v>
      </c>
      <c r="B39" s="19"/>
      <c r="C39" s="39" t="n">
        <v>344226</v>
      </c>
      <c r="D39" s="55" t="n">
        <v>-429416</v>
      </c>
      <c r="E39" s="2" t="n">
        <v>-134389</v>
      </c>
      <c r="F39" s="40" t="n">
        <v>26500</v>
      </c>
      <c r="G39" s="56" t="n">
        <f aca="false">SUM(C39:F39)</f>
        <v>-193079</v>
      </c>
      <c r="H39" s="55" t="n">
        <v>20000</v>
      </c>
      <c r="I39" s="54" t="n">
        <f aca="false">G39-H39</f>
        <v>-213079</v>
      </c>
    </row>
    <row r="40" customFormat="false" ht="12.75" hidden="false" customHeight="true" outlineLevel="0" collapsed="false">
      <c r="A40" s="28" t="str">
        <f aca="false">'[1]QTD Mgmt Summary'!A39</f>
        <v>West Origination (Tycholiz)</v>
      </c>
      <c r="B40" s="19"/>
      <c r="C40" s="39" t="n">
        <v>7108</v>
      </c>
      <c r="D40" s="55" t="n">
        <v>33451</v>
      </c>
      <c r="E40" s="2" t="n">
        <v>9012</v>
      </c>
      <c r="F40" s="40" t="n">
        <v>0</v>
      </c>
      <c r="G40" s="56" t="n">
        <f aca="false">SUM(C40:F40)</f>
        <v>49571</v>
      </c>
      <c r="H40" s="55" t="n">
        <v>106000</v>
      </c>
      <c r="I40" s="54" t="n">
        <f aca="false">G40-H40</f>
        <v>-56429</v>
      </c>
    </row>
    <row r="41" customFormat="false" ht="12.75" hidden="false" customHeight="true" outlineLevel="0" collapsed="false">
      <c r="A41" s="28" t="str">
        <f aca="false">'[1]QTD Mgmt Summary'!A40</f>
        <v>Financial Gas (Arnold)</v>
      </c>
      <c r="B41" s="19"/>
      <c r="C41" s="39" t="n">
        <v>230802</v>
      </c>
      <c r="D41" s="55" t="n">
        <v>399775</v>
      </c>
      <c r="E41" s="2" t="n">
        <v>116324</v>
      </c>
      <c r="F41" s="40" t="n">
        <v>31250</v>
      </c>
      <c r="G41" s="56" t="n">
        <f aca="false">SUM(C41:F41)</f>
        <v>778151</v>
      </c>
      <c r="H41" s="55" t="n">
        <v>125000</v>
      </c>
      <c r="I41" s="54" t="n">
        <f aca="false">G41-H41</f>
        <v>653151</v>
      </c>
    </row>
    <row r="42" customFormat="false" ht="12.75" hidden="false" customHeight="true" outlineLevel="0" collapsed="false">
      <c r="A42" s="28" t="str">
        <f aca="false">'[1]QTD Mgmt Summary'!A41</f>
        <v>Derivative Origination (Lagrasta)</v>
      </c>
      <c r="B42" s="19"/>
      <c r="C42" s="39" t="n">
        <v>9510</v>
      </c>
      <c r="D42" s="55" t="n">
        <v>10919</v>
      </c>
      <c r="E42" s="2" t="n">
        <v>7763</v>
      </c>
      <c r="F42" s="40" t="n">
        <v>6250</v>
      </c>
      <c r="G42" s="56" t="n">
        <f aca="false">SUM(C42:F42)</f>
        <v>34442</v>
      </c>
      <c r="H42" s="55" t="n">
        <v>25000</v>
      </c>
      <c r="I42" s="54" t="n">
        <f aca="false">G42-H42</f>
        <v>9442</v>
      </c>
    </row>
    <row r="43" customFormat="false" ht="12.75" hidden="false" customHeight="true" outlineLevel="0" collapsed="false">
      <c r="A43" s="28" t="str">
        <f aca="false">'[1]QTD Mgmt Summary'!A42</f>
        <v>NG Structuring (McMichael)</v>
      </c>
      <c r="B43" s="19"/>
      <c r="C43" s="39" t="n">
        <v>0</v>
      </c>
      <c r="D43" s="55" t="n">
        <v>0</v>
      </c>
      <c r="E43" s="2" t="n">
        <v>0</v>
      </c>
      <c r="F43" s="40" t="n">
        <v>0</v>
      </c>
      <c r="G43" s="56" t="n">
        <f aca="false">SUM(C43:F43)</f>
        <v>0</v>
      </c>
      <c r="H43" s="55" t="n">
        <v>0</v>
      </c>
      <c r="I43" s="54" t="n">
        <f aca="false">G43-H43</f>
        <v>0</v>
      </c>
    </row>
    <row r="44" customFormat="false" ht="12.75" hidden="false" customHeight="true" outlineLevel="0" collapsed="false">
      <c r="A44" s="28" t="str">
        <f aca="false">'[1]QTD Mgmt Summary'!A43</f>
        <v>NG Fundamentals (Gaskill)</v>
      </c>
      <c r="B44" s="19"/>
      <c r="C44" s="39" t="n">
        <v>0</v>
      </c>
      <c r="D44" s="55" t="n">
        <v>0</v>
      </c>
      <c r="E44" s="2" t="n">
        <v>0</v>
      </c>
      <c r="F44" s="40" t="n">
        <v>0</v>
      </c>
      <c r="G44" s="56" t="n">
        <f aca="false">SUM(C44:F44)</f>
        <v>0</v>
      </c>
      <c r="H44" s="55" t="n">
        <v>0</v>
      </c>
      <c r="I44" s="54" t="n">
        <f aca="false">G44-H44</f>
        <v>0</v>
      </c>
    </row>
    <row r="45" customFormat="false" ht="12.75" hidden="false" customHeight="true" outlineLevel="0" collapsed="false">
      <c r="A45" s="28" t="str">
        <f aca="false">'[1]QTD Mgmt Summary'!A44</f>
        <v>Management</v>
      </c>
      <c r="B45" s="19"/>
      <c r="C45" s="39" t="n">
        <v>-40000</v>
      </c>
      <c r="D45" s="55" t="n">
        <v>-207000</v>
      </c>
      <c r="E45" s="2" t="n">
        <v>501000</v>
      </c>
      <c r="F45" s="40" t="n">
        <v>0</v>
      </c>
      <c r="G45" s="56" t="n">
        <f aca="false">SUM(C45:F45)</f>
        <v>254000</v>
      </c>
      <c r="H45" s="55" t="n">
        <v>0</v>
      </c>
      <c r="I45" s="54" t="n">
        <f aca="false">G45-H45</f>
        <v>254000</v>
      </c>
    </row>
    <row r="46" customFormat="false" ht="12.75" hidden="false" customHeight="true" outlineLevel="0" collapsed="false">
      <c r="A46" s="44" t="s">
        <v>16</v>
      </c>
      <c r="B46" s="45"/>
      <c r="C46" s="46" t="n">
        <f aca="false">SUM(C33:C45)</f>
        <v>555152</v>
      </c>
      <c r="D46" s="47" t="n">
        <f aca="false">SUM(D33:D45)</f>
        <v>121675</v>
      </c>
      <c r="E46" s="47" t="n">
        <v>571712</v>
      </c>
      <c r="F46" s="48" t="n">
        <f aca="false">SUM(F33:F45)</f>
        <v>104750</v>
      </c>
      <c r="G46" s="49" t="n">
        <f aca="false">SUM(G33:G45)</f>
        <v>1353289</v>
      </c>
      <c r="H46" s="48" t="n">
        <v>476000</v>
      </c>
      <c r="I46" s="51" t="n">
        <f aca="false">SUM(I33:I45)</f>
        <v>877289</v>
      </c>
      <c r="J46" s="52"/>
      <c r="K46" s="52"/>
      <c r="L46" s="58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</row>
    <row r="47" customFormat="false" ht="12.75" hidden="false" customHeight="true" outlineLevel="0" collapsed="false">
      <c r="A47" s="28" t="str">
        <f aca="false">'[1]QTD Mgmt Summary'!A46</f>
        <v>Natural Gas Trading (Zufferli)</v>
      </c>
      <c r="B47" s="19"/>
      <c r="C47" s="35" t="n">
        <v>-26713</v>
      </c>
      <c r="D47" s="40" t="n">
        <f aca="false">-11469+722</f>
        <v>-10747</v>
      </c>
      <c r="E47" s="2" t="n">
        <v>775</v>
      </c>
      <c r="F47" s="59" t="n">
        <f aca="false">6250</f>
        <v>6250</v>
      </c>
      <c r="G47" s="56" t="n">
        <f aca="false">SUM(C47:F47)</f>
        <v>-30435</v>
      </c>
      <c r="H47" s="55" t="n">
        <v>25000</v>
      </c>
      <c r="I47" s="57" t="n">
        <f aca="false">G47-H47</f>
        <v>-55435</v>
      </c>
    </row>
    <row r="48" customFormat="false" ht="12.75" hidden="false" customHeight="true" outlineLevel="0" collapsed="false">
      <c r="A48" s="28" t="str">
        <f aca="false">'[1]QTD Mgmt Summary'!A47</f>
        <v>Natural Gas Origination (LeDain)</v>
      </c>
      <c r="B48" s="19"/>
      <c r="C48" s="35" t="n">
        <v>6872</v>
      </c>
      <c r="D48" s="40" t="n">
        <v>5351</v>
      </c>
      <c r="E48" s="2" t="n">
        <v>1753</v>
      </c>
      <c r="F48" s="40" t="n">
        <v>0</v>
      </c>
      <c r="G48" s="39" t="n">
        <f aca="false">SUM(C48:F48)</f>
        <v>13976</v>
      </c>
      <c r="H48" s="55" t="n">
        <v>25000</v>
      </c>
      <c r="I48" s="54" t="n">
        <f aca="false">G48-H48</f>
        <v>-11024</v>
      </c>
    </row>
    <row r="49" customFormat="false" ht="12.75" hidden="false" customHeight="true" outlineLevel="0" collapsed="false">
      <c r="A49" s="28" t="str">
        <f aca="false">'[1]QTD Mgmt Summary'!A48</f>
        <v>Finance (Kitagawa)</v>
      </c>
      <c r="B49" s="19"/>
      <c r="C49" s="35" t="n">
        <v>2886</v>
      </c>
      <c r="D49" s="40" t="n">
        <v>4568</v>
      </c>
      <c r="E49" s="2" t="n">
        <v>317</v>
      </c>
      <c r="F49" s="59" t="n">
        <f aca="false">5000-308</f>
        <v>4692</v>
      </c>
      <c r="G49" s="60" t="n">
        <f aca="false">SUM(C49:F49)</f>
        <v>12463</v>
      </c>
      <c r="H49" s="55" t="n">
        <v>20000</v>
      </c>
      <c r="I49" s="57" t="n">
        <f aca="false">G49-H49</f>
        <v>-7537</v>
      </c>
    </row>
    <row r="50" customFormat="false" ht="12.75" hidden="false" customHeight="true" outlineLevel="0" collapsed="false">
      <c r="A50" s="28" t="str">
        <f aca="false">'[1]QTD Mgmt Summary'!A49</f>
        <v>Alberta Power Trading (Zufferli)</v>
      </c>
      <c r="B50" s="19"/>
      <c r="C50" s="35" t="n">
        <v>87417</v>
      </c>
      <c r="D50" s="40" t="n">
        <v>82154</v>
      </c>
      <c r="E50" s="2" t="n">
        <v>67767</v>
      </c>
      <c r="F50" s="40" t="n">
        <f aca="false">19375-2944</f>
        <v>16431</v>
      </c>
      <c r="G50" s="39" t="n">
        <f aca="false">SUM(C50:F50)</f>
        <v>253769</v>
      </c>
      <c r="H50" s="55" t="n">
        <v>77500</v>
      </c>
      <c r="I50" s="54" t="n">
        <f aca="false">G50-H50</f>
        <v>176269</v>
      </c>
    </row>
    <row r="51" customFormat="false" ht="12.75" hidden="false" customHeight="true" outlineLevel="0" collapsed="false">
      <c r="A51" s="28" t="str">
        <f aca="false">'[1]QTD Mgmt Summary'!A50</f>
        <v>Alberta Power Orig (Davies)</v>
      </c>
      <c r="B51" s="19"/>
      <c r="C51" s="35" t="n">
        <v>26010</v>
      </c>
      <c r="D51" s="40" t="n">
        <v>3339</v>
      </c>
      <c r="E51" s="2" t="n">
        <v>50198</v>
      </c>
      <c r="F51" s="40" t="n">
        <v>0</v>
      </c>
      <c r="G51" s="39" t="n">
        <f aca="false">SUM(C51:F51)</f>
        <v>79547</v>
      </c>
      <c r="H51" s="55" t="n">
        <v>77500</v>
      </c>
      <c r="I51" s="54" t="n">
        <f aca="false">G51-H51</f>
        <v>2047</v>
      </c>
    </row>
    <row r="52" customFormat="false" ht="12.75" hidden="false" customHeight="true" outlineLevel="0" collapsed="false">
      <c r="A52" s="28" t="str">
        <f aca="false">'[1]QTD Mgmt Summary'!A51</f>
        <v>Ontario Power (Devries)</v>
      </c>
      <c r="B52" s="19"/>
      <c r="C52" s="35" t="n">
        <v>0</v>
      </c>
      <c r="D52" s="40" t="n">
        <v>-712</v>
      </c>
      <c r="E52" s="2" t="n">
        <v>481</v>
      </c>
      <c r="F52" s="40" t="n">
        <f aca="false">12500+676</f>
        <v>13176</v>
      </c>
      <c r="G52" s="39" t="n">
        <f aca="false">SUM(C52:F52)</f>
        <v>12945</v>
      </c>
      <c r="H52" s="55" t="n">
        <v>50000</v>
      </c>
      <c r="I52" s="54" t="n">
        <f aca="false">G52-H52</f>
        <v>-37055</v>
      </c>
    </row>
    <row r="53" customFormat="false" ht="12.75" hidden="false" customHeight="true" outlineLevel="0" collapsed="false">
      <c r="A53" s="28" t="str">
        <f aca="false">'[1]QTD Mgmt Summary'!A52</f>
        <v>Executive (Milnthorp)</v>
      </c>
      <c r="B53" s="19"/>
      <c r="C53" s="35" t="n">
        <v>1112</v>
      </c>
      <c r="D53" s="40" t="n">
        <v>199</v>
      </c>
      <c r="E53" s="2" t="n">
        <v>0</v>
      </c>
      <c r="F53" s="40" t="n">
        <f aca="false">2500+1320</f>
        <v>3820</v>
      </c>
      <c r="G53" s="39" t="n">
        <f aca="false">SUM(C53:F53)</f>
        <v>5131</v>
      </c>
      <c r="H53" s="55" t="n">
        <v>10000</v>
      </c>
      <c r="I53" s="54" t="n">
        <f aca="false">G53-H53</f>
        <v>-4869</v>
      </c>
    </row>
    <row r="54" customFormat="false" ht="12.75" hidden="false" customHeight="true" outlineLevel="0" collapsed="false">
      <c r="A54" s="44" t="s">
        <v>17</v>
      </c>
      <c r="B54" s="45"/>
      <c r="C54" s="46" t="n">
        <f aca="false">SUM(C47:C53)</f>
        <v>97584</v>
      </c>
      <c r="D54" s="47" t="n">
        <f aca="false">SUM(D47:D53)</f>
        <v>84152</v>
      </c>
      <c r="E54" s="47" t="n">
        <v>121291</v>
      </c>
      <c r="F54" s="47" t="n">
        <f aca="false">SUM(F47:F53)</f>
        <v>44369</v>
      </c>
      <c r="G54" s="46" t="n">
        <f aca="false">SUM(G47:G53)</f>
        <v>347396</v>
      </c>
      <c r="H54" s="47" t="n">
        <v>285000</v>
      </c>
      <c r="I54" s="62" t="n">
        <f aca="false">SUM(I47:I53)</f>
        <v>62396</v>
      </c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  <c r="IW54" s="52"/>
    </row>
    <row r="55" customFormat="false" ht="12.75" hidden="false" customHeight="true" outlineLevel="0" collapsed="false">
      <c r="A55" s="28" t="str">
        <f aca="false">'[1]QTD Mgmt Summary'!A54</f>
        <v>Upstream Products (Mrha)</v>
      </c>
      <c r="B55" s="19"/>
      <c r="C55" s="35" t="n">
        <v>4277</v>
      </c>
      <c r="D55" s="2" t="n">
        <v>12950</v>
      </c>
      <c r="E55" s="2" t="n">
        <v>-3729</v>
      </c>
      <c r="F55" s="55" t="n">
        <v>7506</v>
      </c>
      <c r="G55" s="39" t="n">
        <f aca="false">SUM(C55:F55)</f>
        <v>21004</v>
      </c>
      <c r="H55" s="55" t="n">
        <v>40546</v>
      </c>
      <c r="I55" s="54" t="n">
        <f aca="false">G55-H55</f>
        <v>-19542</v>
      </c>
    </row>
    <row r="56" customFormat="false" ht="12.75" hidden="false" customHeight="true" outlineLevel="0" collapsed="false">
      <c r="A56" s="28" t="str">
        <f aca="false">'[1]QTD Mgmt Summary'!A55</f>
        <v>Bridgeline (Redmond)</v>
      </c>
      <c r="B56" s="19"/>
      <c r="C56" s="39" t="n">
        <v>4703</v>
      </c>
      <c r="D56" s="55" t="n">
        <v>-185</v>
      </c>
      <c r="E56" s="2" t="n">
        <v>-4498</v>
      </c>
      <c r="F56" s="55" t="n">
        <v>2909</v>
      </c>
      <c r="G56" s="39" t="n">
        <f aca="false">SUM(C56:F56)</f>
        <v>2929</v>
      </c>
      <c r="H56" s="55" t="n">
        <v>11637</v>
      </c>
      <c r="I56" s="54" t="n">
        <f aca="false">G56-H56</f>
        <v>-8708</v>
      </c>
    </row>
    <row r="57" customFormat="false" ht="12.75" hidden="false" customHeight="true" outlineLevel="0" collapsed="false">
      <c r="A57" s="28" t="str">
        <f aca="false">'[1]QTD Mgmt Summary'!A56</f>
        <v>HPL (Redmond)</v>
      </c>
      <c r="B57" s="19"/>
      <c r="C57" s="39" t="n">
        <f aca="false">24490-52913</f>
        <v>-28423</v>
      </c>
      <c r="D57" s="55" t="n">
        <f aca="false">12693-57417</f>
        <v>-44724</v>
      </c>
      <c r="E57" s="2" t="n">
        <v>1692</v>
      </c>
      <c r="F57" s="55" t="n">
        <f aca="false">-2690+3968</f>
        <v>1278</v>
      </c>
      <c r="G57" s="39" t="n">
        <f aca="false">SUM(C57:F57)</f>
        <v>-70177</v>
      </c>
      <c r="H57" s="55" t="n">
        <v>21103</v>
      </c>
      <c r="I57" s="54" t="n">
        <f aca="false">G57-H57</f>
        <v>-91280</v>
      </c>
    </row>
    <row r="58" customFormat="false" ht="12.75" hidden="false" customHeight="true" outlineLevel="0" collapsed="false">
      <c r="A58" s="28" t="str">
        <f aca="false">'[1]QTD Mgmt Summary'!A57</f>
        <v>Mexico (Irvin/Williams)</v>
      </c>
      <c r="B58" s="19"/>
      <c r="C58" s="39" t="n">
        <v>65</v>
      </c>
      <c r="D58" s="55" t="n">
        <v>1885</v>
      </c>
      <c r="E58" s="2" t="n">
        <v>1449</v>
      </c>
      <c r="F58" s="63" t="n">
        <f aca="false">15000+116</f>
        <v>15116</v>
      </c>
      <c r="G58" s="60" t="n">
        <f aca="false">SUM(C58:F58)</f>
        <v>18515</v>
      </c>
      <c r="H58" s="55" t="n">
        <v>60000</v>
      </c>
      <c r="I58" s="54" t="n">
        <f aca="false">G58-H58</f>
        <v>-41485</v>
      </c>
    </row>
    <row r="59" customFormat="false" ht="12.75" hidden="false" customHeight="true" outlineLevel="0" collapsed="false">
      <c r="A59" s="28" t="str">
        <f aca="false">'[1]QTD Mgmt Summary'!A58</f>
        <v>Energy Capital Svcs (Thompson/Josey)</v>
      </c>
      <c r="B59" s="19"/>
      <c r="C59" s="39" t="n">
        <v>10729</v>
      </c>
      <c r="D59" s="55" t="n">
        <v>7357</v>
      </c>
      <c r="E59" s="2" t="n">
        <v>1168</v>
      </c>
      <c r="F59" s="63" t="n">
        <v>25917</v>
      </c>
      <c r="G59" s="60" t="n">
        <f aca="false">SUM(C59:F59)</f>
        <v>45171</v>
      </c>
      <c r="H59" s="55" t="n">
        <v>51643</v>
      </c>
      <c r="I59" s="54" t="n">
        <f aca="false">G59-H59</f>
        <v>-6472</v>
      </c>
    </row>
    <row r="60" customFormat="false" ht="12.75" hidden="false" customHeight="true" outlineLevel="0" collapsed="false">
      <c r="A60" s="28" t="str">
        <f aca="false">'[1]QTD Mgmt Summary'!A59</f>
        <v>Mariner</v>
      </c>
      <c r="B60" s="19"/>
      <c r="C60" s="39" t="n">
        <v>4599</v>
      </c>
      <c r="D60" s="55" t="n">
        <v>3742</v>
      </c>
      <c r="E60" s="2" t="n">
        <v>3597</v>
      </c>
      <c r="F60" s="63" t="n">
        <v>0</v>
      </c>
      <c r="G60" s="60" t="n">
        <f aca="false">SUM(C60:F60)</f>
        <v>11938</v>
      </c>
      <c r="H60" s="55" t="n">
        <v>0</v>
      </c>
      <c r="I60" s="54" t="n">
        <f aca="false">G60-H60</f>
        <v>11938</v>
      </c>
    </row>
    <row r="61" customFormat="false" ht="12.75" hidden="false" customHeight="true" outlineLevel="0" collapsed="false">
      <c r="A61" s="28" t="str">
        <f aca="false">'[1]QTD Mgmt Summary'!A60</f>
        <v>Asset Marketing (D. Miller)</v>
      </c>
      <c r="B61" s="38"/>
      <c r="C61" s="39" t="n">
        <v>0</v>
      </c>
      <c r="D61" s="55" t="n">
        <v>3000</v>
      </c>
      <c r="E61" s="2" t="n">
        <v>0</v>
      </c>
      <c r="F61" s="55" t="n">
        <v>5000</v>
      </c>
      <c r="G61" s="39" t="n">
        <f aca="false">SUM(C61:F61)</f>
        <v>8000</v>
      </c>
      <c r="H61" s="55" t="n">
        <v>20000</v>
      </c>
      <c r="I61" s="54" t="n">
        <f aca="false">G61-H61</f>
        <v>-12000</v>
      </c>
    </row>
    <row r="62" customFormat="false" ht="12.75" hidden="false" customHeight="true" outlineLevel="0" collapsed="false">
      <c r="A62" s="28" t="str">
        <f aca="false">'[1]YTD Mgmt Summ'!A61</f>
        <v>Principal Investing (Miller)</v>
      </c>
      <c r="B62" s="38"/>
      <c r="C62" s="39" t="n">
        <v>-3592</v>
      </c>
      <c r="D62" s="55" t="n">
        <v>-2816</v>
      </c>
      <c r="E62" s="2" t="n">
        <v>0</v>
      </c>
      <c r="F62" s="55" t="n">
        <v>0</v>
      </c>
      <c r="G62" s="39" t="n">
        <f aca="false">SUM(C62:F62)</f>
        <v>-6408</v>
      </c>
      <c r="H62" s="55" t="n">
        <v>27812</v>
      </c>
      <c r="I62" s="54" t="n">
        <f aca="false">G62-H62</f>
        <v>-34220</v>
      </c>
    </row>
    <row r="63" customFormat="false" ht="12.75" hidden="false" customHeight="true" outlineLevel="0" collapsed="false">
      <c r="A63" s="28" t="str">
        <f aca="false">'[1]YTD Mgmt Summ'!A62</f>
        <v>Corporate Development (Detmering)</v>
      </c>
      <c r="B63" s="38"/>
      <c r="C63" s="39" t="n">
        <v>0</v>
      </c>
      <c r="D63" s="55" t="n">
        <v>0</v>
      </c>
      <c r="E63" s="2" t="n">
        <v>0</v>
      </c>
      <c r="F63" s="55" t="n">
        <v>0</v>
      </c>
      <c r="G63" s="39" t="n">
        <f aca="false">SUM(C63:F63)</f>
        <v>0</v>
      </c>
      <c r="H63" s="55" t="n">
        <v>5000</v>
      </c>
      <c r="I63" s="54" t="n">
        <f aca="false">G63-H63</f>
        <v>-5000</v>
      </c>
    </row>
    <row r="64" customFormat="false" ht="12.75" hidden="false" customHeight="true" outlineLevel="0" collapsed="false">
      <c r="A64" s="28" t="str">
        <f aca="false">'[1]QTD Mgmt Summary'!A61</f>
        <v>Sold Peakers</v>
      </c>
      <c r="B64" s="38"/>
      <c r="C64" s="39" t="n">
        <f aca="false">225333-9750</f>
        <v>215583</v>
      </c>
      <c r="D64" s="55" t="n">
        <v>408798</v>
      </c>
      <c r="E64" s="2" t="n">
        <v>19979</v>
      </c>
      <c r="F64" s="55" t="n">
        <v>0</v>
      </c>
      <c r="G64" s="39" t="n">
        <f aca="false">SUM(C64:F64)</f>
        <v>644360</v>
      </c>
      <c r="H64" s="55" t="n">
        <v>-12065</v>
      </c>
      <c r="I64" s="54" t="n">
        <f aca="false">G64-H64</f>
        <v>656425</v>
      </c>
    </row>
    <row r="65" customFormat="false" ht="12.75" hidden="false" customHeight="true" outlineLevel="0" collapsed="false">
      <c r="A65" s="28" t="str">
        <f aca="false">'[1]QTD Mgmt Summary'!A62</f>
        <v>Cross Commodity (Lavorato)</v>
      </c>
      <c r="B65" s="38"/>
      <c r="C65" s="39" t="n">
        <v>-16596</v>
      </c>
      <c r="D65" s="55" t="n">
        <v>37722</v>
      </c>
      <c r="E65" s="2" t="n">
        <v>-22394</v>
      </c>
      <c r="F65" s="55" t="n">
        <v>0</v>
      </c>
      <c r="G65" s="39" t="n">
        <f aca="false">SUM(C65:F65)</f>
        <v>-1268</v>
      </c>
      <c r="H65" s="55" t="n">
        <v>0</v>
      </c>
      <c r="I65" s="54" t="n">
        <f aca="false">G65-H65</f>
        <v>-1268</v>
      </c>
    </row>
    <row r="66" customFormat="false" ht="12.75" hidden="false" customHeight="true" outlineLevel="0" collapsed="false">
      <c r="A66" s="28" t="str">
        <f aca="false">'[1]QTD Mgmt Summary'!A63</f>
        <v>Office of the Chairman (Lavorato/Kitchen)</v>
      </c>
      <c r="B66" s="19"/>
      <c r="C66" s="39" t="n">
        <v>-23432</v>
      </c>
      <c r="D66" s="55" t="n">
        <v>611</v>
      </c>
      <c r="E66" s="2" t="n">
        <v>0</v>
      </c>
      <c r="F66" s="55" t="n">
        <f aca="false">-110179+5263+1398</f>
        <v>-103518</v>
      </c>
      <c r="G66" s="39" t="n">
        <f aca="false">SUM(C66:F66)</f>
        <v>-126339</v>
      </c>
      <c r="H66" s="55" t="n">
        <v>-108268</v>
      </c>
      <c r="I66" s="54" t="n">
        <f aca="false">G66-H66</f>
        <v>-18071</v>
      </c>
    </row>
    <row r="67" customFormat="false" ht="12.75" hidden="false" customHeight="true" outlineLevel="0" collapsed="false">
      <c r="A67" s="28" t="str">
        <f aca="false">'[1]QTD Mgmt Summary'!A64</f>
        <v>TVA Settlement</v>
      </c>
      <c r="B67" s="19"/>
      <c r="C67" s="39" t="n">
        <v>0</v>
      </c>
      <c r="D67" s="55" t="n">
        <v>0</v>
      </c>
      <c r="E67" s="2" t="n">
        <v>0</v>
      </c>
      <c r="F67" s="55" t="n">
        <v>0</v>
      </c>
      <c r="G67" s="39" t="n">
        <f aca="false">SUM(C67:F67)</f>
        <v>0</v>
      </c>
      <c r="H67" s="55" t="n">
        <v>0</v>
      </c>
      <c r="I67" s="54" t="n">
        <f aca="false">G67-H67</f>
        <v>0</v>
      </c>
    </row>
    <row r="68" customFormat="false" ht="12.75" hidden="false" customHeight="true" outlineLevel="0" collapsed="false">
      <c r="A68" s="28" t="str">
        <f aca="false">'[1]QTD Mgmt Summary'!A65</f>
        <v>Other *</v>
      </c>
      <c r="B68" s="19"/>
      <c r="C68" s="39" t="n">
        <v>-18675</v>
      </c>
      <c r="D68" s="55" t="n">
        <v>4410</v>
      </c>
      <c r="E68" s="2" t="n">
        <v>17</v>
      </c>
      <c r="F68" s="63" t="n">
        <v>0</v>
      </c>
      <c r="G68" s="60" t="n">
        <f aca="false">SUM(C68:F68)</f>
        <v>-14248</v>
      </c>
      <c r="H68" s="55" t="n">
        <v>-18500</v>
      </c>
      <c r="I68" s="54" t="n">
        <f aca="false">G68-H68</f>
        <v>4252</v>
      </c>
    </row>
    <row r="69" customFormat="false" ht="12.75" hidden="false" customHeight="true" outlineLevel="0" collapsed="false">
      <c r="A69" s="44" t="s">
        <v>18</v>
      </c>
      <c r="B69" s="45"/>
      <c r="C69" s="46" t="n">
        <f aca="false">SUM(C55:C68)+C54+C46+C32+C24</f>
        <v>1245095</v>
      </c>
      <c r="D69" s="47" t="n">
        <f aca="false">SUM(D55:D68)+D54+D46+D32+D24</f>
        <v>1362462</v>
      </c>
      <c r="E69" s="47" t="n">
        <f aca="false">SUM(E55:E68)+E54+E46+E32+E24</f>
        <v>855362</v>
      </c>
      <c r="F69" s="47" t="n">
        <f aca="false">SUM(F55:F68)+F54+F46+F32+F24</f>
        <v>234202</v>
      </c>
      <c r="G69" s="48" t="n">
        <f aca="false">(SUM(G55:G68))+G24+G32+G46+G54</f>
        <v>3697121</v>
      </c>
      <c r="H69" s="48" t="n">
        <f aca="false">(SUM(H55:H68))+H24+H32+H46+H54</f>
        <v>1666896</v>
      </c>
      <c r="I69" s="51" t="n">
        <f aca="false">G69-H69</f>
        <v>2030225</v>
      </c>
      <c r="J69" s="64"/>
      <c r="K69" s="64"/>
      <c r="L69" s="65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  <c r="HU69" s="64"/>
      <c r="HV69" s="64"/>
      <c r="HW69" s="64"/>
      <c r="HX69" s="64"/>
      <c r="HY69" s="64"/>
      <c r="HZ69" s="64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64"/>
      <c r="IQ69" s="64"/>
      <c r="IR69" s="64"/>
      <c r="IS69" s="64"/>
      <c r="IT69" s="64"/>
      <c r="IU69" s="64"/>
      <c r="IV69" s="64"/>
      <c r="IW69" s="64"/>
    </row>
    <row r="70" customFormat="false" ht="9" hidden="false" customHeight="true" outlineLevel="0" collapsed="false">
      <c r="A70" s="66"/>
      <c r="B70" s="19"/>
      <c r="C70" s="35"/>
      <c r="D70" s="2"/>
      <c r="E70" s="67" t="n">
        <v>0</v>
      </c>
      <c r="F70" s="55"/>
      <c r="G70" s="39"/>
      <c r="H70" s="55"/>
      <c r="I70" s="68"/>
    </row>
    <row r="71" customFormat="false" ht="12.75" hidden="false" customHeight="true" outlineLevel="0" collapsed="false">
      <c r="A71" s="66" t="s">
        <v>19</v>
      </c>
      <c r="B71" s="19"/>
      <c r="C71" s="39" t="n">
        <v>0</v>
      </c>
      <c r="D71" s="55" t="n">
        <v>0</v>
      </c>
      <c r="E71" s="2" t="n">
        <v>0</v>
      </c>
      <c r="F71" s="40" t="n">
        <v>0</v>
      </c>
      <c r="G71" s="39" t="n">
        <f aca="false">SUM(C71:F71)</f>
        <v>0</v>
      </c>
      <c r="H71" s="55" t="n">
        <v>0</v>
      </c>
      <c r="I71" s="54" t="n">
        <f aca="false">G71-H71</f>
        <v>0</v>
      </c>
    </row>
    <row r="72" customFormat="false" ht="12.75" hidden="false" customHeight="true" outlineLevel="0" collapsed="false">
      <c r="A72" s="66" t="s">
        <v>20</v>
      </c>
      <c r="B72" s="19"/>
      <c r="C72" s="39" t="n">
        <v>0</v>
      </c>
      <c r="D72" s="55" t="n">
        <v>0</v>
      </c>
      <c r="E72" s="2" t="n">
        <v>0</v>
      </c>
      <c r="F72" s="40" t="n">
        <v>0</v>
      </c>
      <c r="G72" s="39" t="n">
        <f aca="false">SUM(C72:F72)</f>
        <v>0</v>
      </c>
      <c r="H72" s="55" t="n">
        <v>0</v>
      </c>
      <c r="I72" s="54" t="n">
        <f aca="false">G72-H72</f>
        <v>0</v>
      </c>
    </row>
    <row r="73" customFormat="false" ht="12.75" hidden="false" customHeight="true" outlineLevel="0" collapsed="false">
      <c r="A73" s="66" t="s">
        <v>21</v>
      </c>
      <c r="B73" s="19"/>
      <c r="C73" s="39" t="n">
        <v>0</v>
      </c>
      <c r="D73" s="55" t="n">
        <v>0</v>
      </c>
      <c r="E73" s="2" t="n">
        <v>0</v>
      </c>
      <c r="F73" s="40" t="n">
        <v>0</v>
      </c>
      <c r="G73" s="39" t="n">
        <f aca="false">SUM(C73:F73)</f>
        <v>0</v>
      </c>
      <c r="H73" s="55" t="n">
        <v>0</v>
      </c>
      <c r="I73" s="54" t="n">
        <f aca="false">G73-H73</f>
        <v>0</v>
      </c>
    </row>
    <row r="74" customFormat="false" ht="12.75" hidden="false" customHeight="true" outlineLevel="0" collapsed="false">
      <c r="A74" s="66" t="s">
        <v>22</v>
      </c>
      <c r="B74" s="19"/>
      <c r="C74" s="39" t="n">
        <v>0</v>
      </c>
      <c r="D74" s="55" t="n">
        <v>0</v>
      </c>
      <c r="E74" s="2" t="n">
        <v>0</v>
      </c>
      <c r="F74" s="40" t="n">
        <v>0</v>
      </c>
      <c r="G74" s="39" t="n">
        <f aca="false">SUM(C74:F74)</f>
        <v>0</v>
      </c>
      <c r="H74" s="55" t="n">
        <v>0</v>
      </c>
      <c r="I74" s="54" t="n">
        <f aca="false">G74-H74</f>
        <v>0</v>
      </c>
    </row>
    <row r="75" customFormat="false" ht="12.75" hidden="false" customHeight="true" outlineLevel="0" collapsed="false">
      <c r="A75" s="66" t="s">
        <v>23</v>
      </c>
      <c r="B75" s="19"/>
      <c r="C75" s="39" t="n">
        <v>0</v>
      </c>
      <c r="D75" s="55" t="n">
        <v>0</v>
      </c>
      <c r="E75" s="2" t="n">
        <v>0</v>
      </c>
      <c r="F75" s="40" t="n">
        <v>0</v>
      </c>
      <c r="G75" s="39" t="n">
        <f aca="false">SUM(C75:F75)</f>
        <v>0</v>
      </c>
      <c r="H75" s="55" t="n">
        <v>0</v>
      </c>
      <c r="I75" s="54" t="n">
        <f aca="false">G75-H75</f>
        <v>0</v>
      </c>
    </row>
    <row r="76" customFormat="false" ht="12.75" hidden="false" customHeight="true" outlineLevel="0" collapsed="false">
      <c r="A76" s="66" t="s">
        <v>24</v>
      </c>
      <c r="B76" s="19"/>
      <c r="C76" s="39" t="n">
        <v>0</v>
      </c>
      <c r="D76" s="55" t="n">
        <v>0</v>
      </c>
      <c r="E76" s="2" t="n">
        <v>0</v>
      </c>
      <c r="F76" s="40" t="n">
        <v>0</v>
      </c>
      <c r="G76" s="39" t="n">
        <f aca="false">SUM(C76:F76)</f>
        <v>0</v>
      </c>
      <c r="H76" s="55" t="n">
        <v>0</v>
      </c>
      <c r="I76" s="54" t="n">
        <f aca="false">G76-H76</f>
        <v>0</v>
      </c>
    </row>
    <row r="77" customFormat="false" ht="12.75" hidden="false" customHeight="true" outlineLevel="0" collapsed="false">
      <c r="A77" s="66" t="s">
        <v>25</v>
      </c>
      <c r="B77" s="19"/>
      <c r="C77" s="39" t="n">
        <v>0</v>
      </c>
      <c r="D77" s="55" t="n">
        <v>0</v>
      </c>
      <c r="E77" s="2" t="n">
        <v>0</v>
      </c>
      <c r="F77" s="40" t="n">
        <v>0</v>
      </c>
      <c r="G77" s="39" t="n">
        <f aca="false">SUM(C77:F77)</f>
        <v>0</v>
      </c>
      <c r="H77" s="55" t="n">
        <v>0</v>
      </c>
      <c r="I77" s="54" t="n">
        <f aca="false">G77-H77</f>
        <v>0</v>
      </c>
    </row>
    <row r="78" customFormat="false" ht="12.75" hidden="false" customHeight="true" outlineLevel="0" collapsed="false">
      <c r="A78" s="66" t="s">
        <v>26</v>
      </c>
      <c r="B78" s="19"/>
      <c r="C78" s="39" t="n">
        <v>0</v>
      </c>
      <c r="D78" s="55" t="n">
        <v>0</v>
      </c>
      <c r="E78" s="2" t="n">
        <v>0</v>
      </c>
      <c r="F78" s="40" t="n">
        <v>0</v>
      </c>
      <c r="G78" s="39" t="n">
        <f aca="false">SUM(C78:F78)</f>
        <v>0</v>
      </c>
      <c r="H78" s="55" t="n">
        <v>0</v>
      </c>
      <c r="I78" s="54" t="n">
        <f aca="false">G78-H78</f>
        <v>0</v>
      </c>
    </row>
    <row r="79" customFormat="false" ht="12.75" hidden="false" customHeight="true" outlineLevel="0" collapsed="false">
      <c r="A79" s="66" t="s">
        <v>27</v>
      </c>
      <c r="B79" s="19"/>
      <c r="C79" s="39" t="n">
        <v>0</v>
      </c>
      <c r="D79" s="55" t="n">
        <v>0</v>
      </c>
      <c r="E79" s="2" t="n">
        <v>0</v>
      </c>
      <c r="F79" s="40" t="n">
        <v>0</v>
      </c>
      <c r="G79" s="39" t="n">
        <f aca="false">SUM(C79:F79)</f>
        <v>0</v>
      </c>
      <c r="H79" s="55" t="n">
        <v>0</v>
      </c>
      <c r="I79" s="54" t="n">
        <f aca="false">G79-H79</f>
        <v>0</v>
      </c>
    </row>
    <row r="80" customFormat="false" ht="12.75" hidden="false" customHeight="true" outlineLevel="0" collapsed="false">
      <c r="A80" s="66" t="s">
        <v>28</v>
      </c>
      <c r="B80" s="19"/>
      <c r="C80" s="39" t="n">
        <v>0</v>
      </c>
      <c r="D80" s="55" t="n">
        <v>0</v>
      </c>
      <c r="E80" s="2" t="n">
        <v>0</v>
      </c>
      <c r="F80" s="40" t="n">
        <v>0</v>
      </c>
      <c r="G80" s="39" t="n">
        <f aca="false">SUM(C80:F80)</f>
        <v>0</v>
      </c>
      <c r="H80" s="55" t="n">
        <v>0</v>
      </c>
      <c r="I80" s="54" t="n">
        <f aca="false">G80-H80</f>
        <v>0</v>
      </c>
    </row>
    <row r="81" customFormat="false" ht="12.75" hidden="false" customHeight="true" outlineLevel="0" collapsed="false">
      <c r="A81" s="66" t="s">
        <v>29</v>
      </c>
      <c r="B81" s="19"/>
      <c r="C81" s="39" t="n">
        <v>0</v>
      </c>
      <c r="D81" s="55" t="n">
        <v>0</v>
      </c>
      <c r="E81" s="2" t="n">
        <v>0</v>
      </c>
      <c r="F81" s="40" t="n">
        <v>0</v>
      </c>
      <c r="G81" s="39" t="n">
        <f aca="false">SUM(C81:F81)</f>
        <v>0</v>
      </c>
      <c r="H81" s="55" t="n">
        <v>0</v>
      </c>
      <c r="I81" s="54" t="n">
        <f aca="false">G81-H81</f>
        <v>0</v>
      </c>
    </row>
    <row r="82" customFormat="false" ht="12.75" hidden="false" customHeight="true" outlineLevel="0" collapsed="false">
      <c r="A82" s="66" t="s">
        <v>30</v>
      </c>
      <c r="B82" s="19"/>
      <c r="C82" s="39" t="n">
        <v>0</v>
      </c>
      <c r="D82" s="55" t="n">
        <v>0</v>
      </c>
      <c r="E82" s="2" t="n">
        <v>0</v>
      </c>
      <c r="F82" s="40" t="n">
        <v>0</v>
      </c>
      <c r="G82" s="39" t="n">
        <f aca="false">SUM(C82:F82)</f>
        <v>0</v>
      </c>
      <c r="H82" s="55" t="n">
        <v>0</v>
      </c>
      <c r="I82" s="54" t="n">
        <f aca="false">G82-H82</f>
        <v>0</v>
      </c>
    </row>
    <row r="83" customFormat="false" ht="12.75" hidden="false" customHeight="true" outlineLevel="0" collapsed="false">
      <c r="A83" s="66" t="s">
        <v>31</v>
      </c>
      <c r="B83" s="19"/>
      <c r="C83" s="39" t="n">
        <v>0</v>
      </c>
      <c r="D83" s="55" t="n">
        <v>0</v>
      </c>
      <c r="E83" s="2" t="n">
        <v>0</v>
      </c>
      <c r="F83" s="40" t="n">
        <v>0</v>
      </c>
      <c r="G83" s="39" t="n">
        <f aca="false">SUM(C83:F83)</f>
        <v>0</v>
      </c>
      <c r="H83" s="55" t="n">
        <v>0</v>
      </c>
      <c r="I83" s="54" t="n">
        <f aca="false">G83-H83</f>
        <v>0</v>
      </c>
    </row>
    <row r="84" customFormat="false" ht="12.75" hidden="false" customHeight="true" outlineLevel="0" collapsed="false">
      <c r="A84" s="66" t="s">
        <v>32</v>
      </c>
      <c r="B84" s="19"/>
      <c r="C84" s="39" t="n">
        <v>0</v>
      </c>
      <c r="D84" s="55" t="n">
        <v>0</v>
      </c>
      <c r="E84" s="2" t="n">
        <v>0</v>
      </c>
      <c r="F84" s="40" t="n">
        <v>0</v>
      </c>
      <c r="G84" s="39" t="n">
        <f aca="false">SUM(C84:F84)</f>
        <v>0</v>
      </c>
      <c r="H84" s="55" t="n">
        <v>0</v>
      </c>
      <c r="I84" s="54" t="n">
        <f aca="false">G84-H84</f>
        <v>0</v>
      </c>
    </row>
    <row r="85" customFormat="false" ht="12.75" hidden="false" customHeight="true" outlineLevel="0" collapsed="false">
      <c r="A85" s="44" t="s">
        <v>33</v>
      </c>
      <c r="B85" s="45"/>
      <c r="C85" s="46" t="n">
        <f aca="false">SUM(C71:C84)</f>
        <v>0</v>
      </c>
      <c r="D85" s="47" t="n">
        <f aca="false">SUM(D71:D84)</f>
        <v>0</v>
      </c>
      <c r="E85" s="47" t="n">
        <v>0</v>
      </c>
      <c r="F85" s="48" t="n">
        <f aca="false">SUM(F71:F84)</f>
        <v>0</v>
      </c>
      <c r="G85" s="49" t="n">
        <f aca="false">SUM(G71:G84)</f>
        <v>0</v>
      </c>
      <c r="H85" s="48" t="n">
        <f aca="false">SUM(H71:H84)</f>
        <v>0</v>
      </c>
      <c r="I85" s="51" t="n">
        <f aca="false">SUM(I71:I84)</f>
        <v>0</v>
      </c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</row>
    <row r="86" customFormat="false" ht="12.75" hidden="false" customHeight="true" outlineLevel="0" collapsed="false">
      <c r="A86" s="69" t="str">
        <f aca="false">'[1]QTD Mgmt Summary'!A83</f>
        <v>Prepay Expenses</v>
      </c>
      <c r="B86" s="19"/>
      <c r="C86" s="39" t="n">
        <v>0</v>
      </c>
      <c r="D86" s="55" t="n">
        <v>0</v>
      </c>
      <c r="E86" s="2" t="n">
        <v>-21600</v>
      </c>
      <c r="F86" s="40" t="n">
        <v>0</v>
      </c>
      <c r="G86" s="39" t="n">
        <f aca="false">SUM(C86:F86)</f>
        <v>-21600</v>
      </c>
      <c r="H86" s="55" t="n">
        <v>0</v>
      </c>
      <c r="I86" s="54" t="n">
        <f aca="false">G86-H86</f>
        <v>-21600</v>
      </c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  <c r="IW86" s="70"/>
    </row>
    <row r="87" customFormat="false" ht="12.75" hidden="false" customHeight="true" outlineLevel="0" collapsed="false">
      <c r="A87" s="69" t="str">
        <f aca="false">'[1]QTD Mgmt Summary'!A84</f>
        <v>U.S. Drift</v>
      </c>
      <c r="B87" s="19"/>
      <c r="C87" s="35" t="n">
        <v>49140</v>
      </c>
      <c r="D87" s="55" t="n">
        <v>40486</v>
      </c>
      <c r="E87" s="2" t="n">
        <v>31751</v>
      </c>
      <c r="F87" s="40" t="n">
        <v>28610</v>
      </c>
      <c r="G87" s="39" t="n">
        <f aca="false">SUM(C87:F87)</f>
        <v>149987</v>
      </c>
      <c r="H87" s="55" t="n">
        <v>118538</v>
      </c>
      <c r="I87" s="54" t="n">
        <f aca="false">G87-H87</f>
        <v>31449</v>
      </c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  <c r="IV87" s="70"/>
      <c r="IW87" s="70"/>
    </row>
    <row r="88" customFormat="false" ht="12.75" hidden="false" customHeight="true" outlineLevel="0" collapsed="false">
      <c r="A88" s="69" t="str">
        <f aca="false">'[1]QTD Mgmt Summary'!A85</f>
        <v>Facility Costs</v>
      </c>
      <c r="B88" s="19"/>
      <c r="C88" s="39" t="n">
        <v>-24207</v>
      </c>
      <c r="D88" s="55" t="n">
        <v>-12781</v>
      </c>
      <c r="E88" s="2" t="n">
        <v>-10589</v>
      </c>
      <c r="F88" s="40" t="n">
        <v>-13000</v>
      </c>
      <c r="G88" s="39" t="n">
        <f aca="false">SUM(C88:F88)</f>
        <v>-60577</v>
      </c>
      <c r="H88" s="55" t="n">
        <v>-52000</v>
      </c>
      <c r="I88" s="54" t="n">
        <f aca="false">G88-H88</f>
        <v>-8577</v>
      </c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  <c r="IV88" s="70"/>
      <c r="IW88" s="70"/>
    </row>
    <row r="89" customFormat="false" ht="12.75" hidden="false" customHeight="true" outlineLevel="0" collapsed="false">
      <c r="A89" s="69" t="str">
        <f aca="false">'[1]QTD Mgmt Summary'!A86</f>
        <v>Capital Charge Offset</v>
      </c>
      <c r="B89" s="19"/>
      <c r="C89" s="39" t="n">
        <v>0</v>
      </c>
      <c r="D89" s="55" t="n">
        <v>5195</v>
      </c>
      <c r="E89" s="2" t="n">
        <v>2773</v>
      </c>
      <c r="F89" s="40" t="n">
        <v>0</v>
      </c>
      <c r="G89" s="53" t="n">
        <f aca="false">SUM(C89:F89)</f>
        <v>7968</v>
      </c>
      <c r="H89" s="40" t="n">
        <v>0</v>
      </c>
      <c r="I89" s="54" t="n">
        <f aca="false">G89-H89</f>
        <v>7968</v>
      </c>
    </row>
    <row r="90" customFormat="false" ht="12.75" hidden="false" customHeight="true" outlineLevel="0" collapsed="false">
      <c r="A90" s="44" t="s">
        <v>43</v>
      </c>
      <c r="B90" s="45"/>
      <c r="C90" s="46" t="n">
        <f aca="false">C69+C85+C86+C87+C88+C89</f>
        <v>1270028</v>
      </c>
      <c r="D90" s="47" t="n">
        <f aca="false">D69+D85+D86+D87+D88+D89</f>
        <v>1395362</v>
      </c>
      <c r="E90" s="47" t="n">
        <f aca="false">E69+E86+E87+E88+E89</f>
        <v>857697</v>
      </c>
      <c r="F90" s="47" t="n">
        <f aca="false">F69+F85+F86+F87+F88+F89</f>
        <v>249812</v>
      </c>
      <c r="G90" s="46" t="n">
        <f aca="false">G69+G85+G86+G87+G88+G89</f>
        <v>3772899</v>
      </c>
      <c r="H90" s="47" t="n">
        <f aca="false">SUM(H86:H89)+H85+H69</f>
        <v>1733434</v>
      </c>
      <c r="I90" s="62" t="n">
        <f aca="false">G90-H90</f>
        <v>2039465</v>
      </c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  <c r="HU90" s="64"/>
      <c r="HV90" s="64"/>
      <c r="HW90" s="64"/>
      <c r="HX90" s="64"/>
      <c r="HY90" s="64"/>
      <c r="HZ90" s="64"/>
      <c r="IA90" s="64"/>
      <c r="IB90" s="64"/>
      <c r="IC90" s="64"/>
      <c r="ID90" s="64"/>
      <c r="IE90" s="64"/>
      <c r="IF90" s="64"/>
      <c r="IG90" s="64"/>
      <c r="IH90" s="64"/>
      <c r="II90" s="64"/>
      <c r="IJ90" s="64"/>
      <c r="IK90" s="64"/>
      <c r="IL90" s="64"/>
      <c r="IM90" s="64"/>
      <c r="IN90" s="64"/>
      <c r="IO90" s="64"/>
      <c r="IP90" s="64"/>
      <c r="IQ90" s="64"/>
      <c r="IR90" s="64"/>
      <c r="IS90" s="64"/>
      <c r="IT90" s="64"/>
      <c r="IU90" s="64"/>
      <c r="IV90" s="64"/>
      <c r="IW90" s="64"/>
    </row>
    <row r="91" customFormat="false" ht="15.75" hidden="false" customHeight="true" outlineLevel="0" collapsed="false">
      <c r="A91" s="91"/>
      <c r="B91" s="38"/>
      <c r="C91" s="67"/>
      <c r="D91" s="2"/>
      <c r="E91" s="82"/>
      <c r="F91" s="78"/>
      <c r="G91" s="78"/>
      <c r="H91" s="78"/>
      <c r="I91" s="80"/>
    </row>
    <row r="92" customFormat="false" ht="12.75" hidden="false" customHeight="true" outlineLevel="0" collapsed="false">
      <c r="A92" s="44" t="s">
        <v>44</v>
      </c>
      <c r="B92" s="45"/>
      <c r="C92" s="46" t="n">
        <v>9364</v>
      </c>
      <c r="D92" s="47" t="n">
        <v>18780</v>
      </c>
      <c r="E92" s="47" t="n">
        <v>0</v>
      </c>
      <c r="F92" s="47" t="n">
        <v>0</v>
      </c>
      <c r="G92" s="46" t="n">
        <f aca="false">SUM(C92:F92)</f>
        <v>28144</v>
      </c>
      <c r="H92" s="47" t="n">
        <v>38100</v>
      </c>
      <c r="I92" s="62" t="n">
        <f aca="false">G92-H92</f>
        <v>-9956</v>
      </c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  <c r="HH92" s="64"/>
      <c r="HI92" s="64"/>
      <c r="HJ92" s="64"/>
      <c r="HK92" s="64"/>
      <c r="HL92" s="64"/>
      <c r="HM92" s="64"/>
      <c r="HN92" s="64"/>
      <c r="HO92" s="64"/>
      <c r="HP92" s="64"/>
      <c r="HQ92" s="64"/>
      <c r="HR92" s="64"/>
      <c r="HS92" s="64"/>
      <c r="HT92" s="64"/>
      <c r="HU92" s="64"/>
      <c r="HV92" s="64"/>
      <c r="HW92" s="64"/>
      <c r="HX92" s="64"/>
      <c r="HY92" s="64"/>
      <c r="HZ92" s="64"/>
      <c r="IA92" s="64"/>
      <c r="IB92" s="64"/>
      <c r="IC92" s="64"/>
      <c r="ID92" s="64"/>
      <c r="IE92" s="64"/>
      <c r="IF92" s="64"/>
      <c r="IG92" s="64"/>
      <c r="IH92" s="64"/>
      <c r="II92" s="64"/>
      <c r="IJ92" s="64"/>
      <c r="IK92" s="64"/>
      <c r="IL92" s="64"/>
      <c r="IM92" s="64"/>
      <c r="IN92" s="64"/>
      <c r="IO92" s="64"/>
      <c r="IP92" s="64"/>
      <c r="IQ92" s="64"/>
      <c r="IR92" s="64"/>
      <c r="IS92" s="64"/>
      <c r="IT92" s="64"/>
      <c r="IU92" s="64"/>
      <c r="IV92" s="64"/>
      <c r="IW92" s="64"/>
    </row>
    <row r="93" customFormat="false" ht="13.5" hidden="false" customHeight="false" outlineLevel="0" collapsed="false">
      <c r="A93" s="92"/>
      <c r="B93" s="38"/>
      <c r="D93" s="93"/>
      <c r="E93" s="93"/>
      <c r="F93" s="78"/>
      <c r="G93" s="78"/>
      <c r="H93" s="78"/>
      <c r="I93" s="80"/>
    </row>
    <row r="94" customFormat="false" ht="12.75" hidden="false" customHeight="true" outlineLevel="0" collapsed="false">
      <c r="A94" s="44" t="s">
        <v>45</v>
      </c>
      <c r="B94" s="45"/>
      <c r="C94" s="46" t="n">
        <f aca="false">C90+C92</f>
        <v>1279392</v>
      </c>
      <c r="D94" s="47" t="n">
        <f aca="false">D90+D92</f>
        <v>1414142</v>
      </c>
      <c r="E94" s="47" t="n">
        <f aca="false">E90+E92</f>
        <v>857697</v>
      </c>
      <c r="F94" s="62" t="n">
        <f aca="false">F90+F92</f>
        <v>249812</v>
      </c>
      <c r="G94" s="47" t="n">
        <f aca="false">G90+G92</f>
        <v>3801043</v>
      </c>
      <c r="H94" s="47" t="n">
        <f aca="false">H90+H92</f>
        <v>1771534</v>
      </c>
      <c r="I94" s="62" t="n">
        <f aca="false">I90+I92</f>
        <v>2029509</v>
      </c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  <c r="HH94" s="64"/>
      <c r="HI94" s="64"/>
      <c r="HJ94" s="64"/>
      <c r="HK94" s="64"/>
      <c r="HL94" s="64"/>
      <c r="HM94" s="64"/>
      <c r="HN94" s="64"/>
      <c r="HO94" s="64"/>
      <c r="HP94" s="64"/>
      <c r="HQ94" s="64"/>
      <c r="HR94" s="64"/>
      <c r="HS94" s="64"/>
      <c r="HT94" s="64"/>
      <c r="HU94" s="64"/>
      <c r="HV94" s="64"/>
      <c r="HW94" s="64"/>
      <c r="HX94" s="64"/>
      <c r="HY94" s="64"/>
      <c r="HZ94" s="64"/>
      <c r="IA94" s="64"/>
      <c r="IB94" s="64"/>
      <c r="IC94" s="64"/>
      <c r="ID94" s="64"/>
      <c r="IE94" s="64"/>
      <c r="IF94" s="64"/>
      <c r="IG94" s="64"/>
      <c r="IH94" s="64"/>
      <c r="II94" s="64"/>
      <c r="IJ94" s="64"/>
      <c r="IK94" s="64"/>
      <c r="IL94" s="64"/>
      <c r="IM94" s="64"/>
      <c r="IN94" s="64"/>
      <c r="IO94" s="64"/>
      <c r="IP94" s="64"/>
      <c r="IQ94" s="64"/>
      <c r="IR94" s="64"/>
      <c r="IS94" s="64"/>
      <c r="IT94" s="64"/>
      <c r="IU94" s="64"/>
      <c r="IV94" s="64"/>
      <c r="IW94" s="64"/>
    </row>
    <row r="95" customFormat="false" ht="12.75" hidden="false" customHeight="false" outlineLevel="0" collapsed="false">
      <c r="H95" s="78"/>
    </row>
    <row r="96" customFormat="false" ht="12.75" hidden="false" customHeight="false" outlineLevel="0" collapsed="false">
      <c r="H96" s="78"/>
    </row>
    <row r="97" customFormat="false" ht="12.75" hidden="false" customHeight="false" outlineLevel="0" collapsed="false">
      <c r="A97" s="1" t="s">
        <v>39</v>
      </c>
      <c r="H97" s="78"/>
    </row>
  </sheetData>
  <mergeCells count="7">
    <mergeCell ref="A2:I2"/>
    <mergeCell ref="A3:I3"/>
    <mergeCell ref="A4:I4"/>
    <mergeCell ref="A5:I5"/>
    <mergeCell ref="A7:A8"/>
    <mergeCell ref="C7:F8"/>
    <mergeCell ref="G7:I8"/>
  </mergeCells>
  <printOptions headings="false" gridLines="false" gridLinesSet="true" horizontalCentered="true" verticalCentered="false"/>
  <pageMargins left="0.25" right="0.25" top="0.2" bottom="0.179861111111111" header="0.511811023622047" footer="0.179861111111111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BM10" activePane="bottomLeft" state="frozen"/>
      <selection pane="topLeft" activeCell="A1" activeCellId="0" sqref="A1"/>
      <selection pane="bottomLeft" activeCell="A6" activeCellId="0" sqref="A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3" min="3" style="2" width="8.7"/>
    <col collapsed="false" customWidth="true" hidden="false" outlineLevel="0" max="4" min="4" style="1" width="8.7"/>
    <col collapsed="false" customWidth="true" hidden="false" outlineLevel="0" max="5" min="5" style="1" width="8.56"/>
    <col collapsed="false" customWidth="true" hidden="false" outlineLevel="0" max="6" min="6" style="3" width="9.28"/>
    <col collapsed="false" customWidth="true" hidden="false" outlineLevel="0" max="8" min="7" style="3" width="8.7"/>
    <col collapsed="false" customWidth="true" hidden="false" outlineLevel="0" max="9" min="9" style="3" width="8.85"/>
    <col collapsed="false" customWidth="true" hidden="false" outlineLevel="0" max="10" min="10" style="1" width="0.85"/>
    <col collapsed="false" customWidth="true" hidden="false" outlineLevel="0" max="11" min="11" style="1" width="8.7"/>
    <col collapsed="false" customWidth="true" hidden="false" outlineLevel="0" max="15" min="12" style="1" width="7.7"/>
    <col collapsed="false" customWidth="true" hidden="false" outlineLevel="0" max="17" min="16" style="1" width="8.7"/>
    <col collapsed="false" customWidth="true" hidden="false" outlineLevel="0" max="18" min="18" style="1" width="0.85"/>
    <col collapsed="false" customWidth="false" hidden="false" outlineLevel="0" max="257" min="19" style="1" width="9.14"/>
  </cols>
  <sheetData>
    <row r="1" customFormat="false" ht="9.95" hidden="false" customHeight="true" outlineLevel="0" collapsed="false">
      <c r="A1" s="0"/>
      <c r="B1" s="0"/>
      <c r="C1" s="4"/>
      <c r="D1" s="0"/>
      <c r="E1" s="0"/>
      <c r="F1" s="5"/>
      <c r="G1" s="5"/>
      <c r="H1" s="5"/>
      <c r="I1" s="5"/>
      <c r="J1" s="0"/>
      <c r="K1" s="94"/>
      <c r="L1" s="94"/>
      <c r="M1" s="94"/>
      <c r="N1" s="94"/>
      <c r="O1" s="94"/>
      <c r="P1" s="94"/>
      <c r="Q1" s="94"/>
      <c r="R1" s="9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9.25" hidden="false" customHeight="true" outlineLevel="0" collapsed="false">
      <c r="A2" s="8" t="s">
        <v>0</v>
      </c>
      <c r="B2" s="8"/>
      <c r="C2" s="8"/>
      <c r="D2" s="8"/>
      <c r="E2" s="8"/>
      <c r="F2" s="8"/>
      <c r="G2" s="8"/>
      <c r="H2" s="8"/>
      <c r="I2" s="8"/>
      <c r="J2" s="9"/>
      <c r="K2" s="96"/>
      <c r="L2" s="96"/>
      <c r="M2" s="96"/>
      <c r="N2" s="96"/>
      <c r="O2" s="96"/>
      <c r="P2" s="96"/>
      <c r="Q2" s="10"/>
      <c r="R2" s="97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true" outlineLevel="0" collapsed="false">
      <c r="A3" s="12" t="s">
        <v>46</v>
      </c>
      <c r="B3" s="12"/>
      <c r="C3" s="12"/>
      <c r="D3" s="12"/>
      <c r="E3" s="12"/>
      <c r="F3" s="12"/>
      <c r="G3" s="12"/>
      <c r="H3" s="12"/>
      <c r="I3" s="12"/>
      <c r="J3" s="0"/>
      <c r="K3" s="94"/>
      <c r="L3" s="94"/>
      <c r="M3" s="94"/>
      <c r="N3" s="94"/>
      <c r="O3" s="94"/>
      <c r="P3" s="94"/>
      <c r="Q3" s="7"/>
      <c r="R3" s="9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15.75" hidden="false" customHeight="true" outlineLevel="0" collapsed="false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0"/>
      <c r="K4" s="94"/>
      <c r="L4" s="94"/>
      <c r="M4" s="94"/>
      <c r="N4" s="94"/>
      <c r="O4" s="94"/>
      <c r="P4" s="94"/>
      <c r="Q4" s="7"/>
      <c r="R4" s="9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5.75" hidden="false" customHeight="true" outlineLevel="0" collapsed="false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0"/>
      <c r="K5" s="94"/>
      <c r="L5" s="94"/>
      <c r="M5" s="94"/>
      <c r="N5" s="94"/>
      <c r="O5" s="94"/>
      <c r="P5" s="94"/>
      <c r="Q5" s="7"/>
      <c r="R5" s="9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0"/>
      <c r="B6" s="0"/>
      <c r="C6" s="4"/>
      <c r="D6" s="0"/>
      <c r="E6" s="0"/>
      <c r="F6" s="5"/>
      <c r="G6" s="5"/>
      <c r="H6" s="5"/>
      <c r="I6" s="5"/>
      <c r="J6" s="0"/>
      <c r="K6" s="94"/>
      <c r="L6" s="94"/>
      <c r="M6" s="94"/>
      <c r="N6" s="94"/>
      <c r="O6" s="94"/>
      <c r="P6" s="94"/>
      <c r="Q6" s="94"/>
      <c r="R6" s="98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4" t="s">
        <v>4</v>
      </c>
      <c r="B7" s="15"/>
      <c r="C7" s="16" t="s">
        <v>47</v>
      </c>
      <c r="D7" s="16"/>
      <c r="E7" s="16"/>
      <c r="F7" s="16"/>
      <c r="G7" s="17" t="s">
        <v>6</v>
      </c>
      <c r="H7" s="17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3" hidden="false" customHeight="true" outlineLevel="0" collapsed="false">
      <c r="A8" s="14"/>
      <c r="B8" s="19"/>
      <c r="C8" s="16"/>
      <c r="D8" s="16"/>
      <c r="E8" s="16"/>
      <c r="F8" s="16"/>
      <c r="G8" s="17"/>
      <c r="H8" s="17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43.5" hidden="false" customHeight="true" outlineLevel="0" collapsed="false">
      <c r="A9" s="20"/>
      <c r="B9" s="21"/>
      <c r="C9" s="22" t="s">
        <v>7</v>
      </c>
      <c r="D9" s="23" t="s">
        <v>8</v>
      </c>
      <c r="E9" s="24" t="s">
        <v>9</v>
      </c>
      <c r="F9" s="25" t="s">
        <v>10</v>
      </c>
      <c r="G9" s="26" t="s">
        <v>48</v>
      </c>
      <c r="H9" s="25" t="s">
        <v>12</v>
      </c>
      <c r="I9" s="27" t="s">
        <v>13</v>
      </c>
    </row>
    <row r="10" customFormat="false" ht="12.75" hidden="false" customHeight="true" outlineLevel="0" collapsed="false">
      <c r="A10" s="28" t="str">
        <f aca="false">'[1]QTD Mgmt Summary'!A9</f>
        <v>Northeast Trading (Davis)</v>
      </c>
      <c r="B10" s="29"/>
      <c r="C10" s="30" t="n">
        <v>671</v>
      </c>
      <c r="D10" s="30" t="n">
        <v>806</v>
      </c>
      <c r="E10" s="30" t="n">
        <v>617</v>
      </c>
      <c r="F10" s="30" t="n">
        <v>845</v>
      </c>
      <c r="G10" s="31" t="n">
        <f aca="false">SUM(C10:F10)</f>
        <v>2939</v>
      </c>
      <c r="H10" s="30" t="n">
        <v>3309</v>
      </c>
      <c r="I10" s="33" t="n">
        <f aca="false">H10-G10</f>
        <v>370</v>
      </c>
      <c r="J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2.75" hidden="false" customHeight="true" outlineLevel="0" collapsed="false">
      <c r="A11" s="28" t="str">
        <f aca="false">'[1]QTD Mgmt Summary'!A10</f>
        <v>Northeast Origination (Llodra)</v>
      </c>
      <c r="B11" s="29"/>
      <c r="C11" s="2" t="n">
        <v>568</v>
      </c>
      <c r="D11" s="2" t="n">
        <v>497</v>
      </c>
      <c r="E11" s="2" t="n">
        <v>565</v>
      </c>
      <c r="F11" s="2" t="n">
        <v>999</v>
      </c>
      <c r="G11" s="35" t="n">
        <f aca="false">SUM(C11:F11)</f>
        <v>2629</v>
      </c>
      <c r="H11" s="2" t="n">
        <v>4105</v>
      </c>
      <c r="I11" s="37" t="n">
        <f aca="false">H11-G11</f>
        <v>1476</v>
      </c>
      <c r="J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12.75" hidden="false" customHeight="true" outlineLevel="0" collapsed="false">
      <c r="A12" s="28" t="str">
        <f aca="false">'[1]QTD Mgmt Summary'!A11</f>
        <v>Midwest Trading (Sturm)</v>
      </c>
      <c r="B12" s="38"/>
      <c r="C12" s="2" t="n">
        <v>482</v>
      </c>
      <c r="D12" s="2" t="n">
        <v>412</v>
      </c>
      <c r="E12" s="2" t="n">
        <v>480</v>
      </c>
      <c r="F12" s="40" t="n">
        <v>500</v>
      </c>
      <c r="G12" s="39" t="n">
        <f aca="false">SUM(C12:F12)</f>
        <v>1874</v>
      </c>
      <c r="H12" s="55" t="n">
        <v>2180</v>
      </c>
      <c r="I12" s="37" t="n">
        <f aca="false">H12-G12</f>
        <v>306</v>
      </c>
    </row>
    <row r="13" customFormat="false" ht="12.75" hidden="false" customHeight="true" outlineLevel="0" collapsed="false">
      <c r="A13" s="28" t="str">
        <f aca="false">'[1]QTD Mgmt Summary'!A12</f>
        <v>Midwest Origination (Baughman)</v>
      </c>
      <c r="B13" s="38"/>
      <c r="C13" s="2" t="n">
        <v>310</v>
      </c>
      <c r="D13" s="2" t="n">
        <v>568</v>
      </c>
      <c r="E13" s="2" t="n">
        <v>357</v>
      </c>
      <c r="F13" s="40" t="n">
        <v>933</v>
      </c>
      <c r="G13" s="39" t="n">
        <f aca="false">SUM(C13:F13)</f>
        <v>2168</v>
      </c>
      <c r="H13" s="55" t="n">
        <v>3895</v>
      </c>
      <c r="I13" s="37" t="n">
        <f aca="false">H13-G13</f>
        <v>1727</v>
      </c>
    </row>
    <row r="14" customFormat="false" ht="12.75" hidden="false" customHeight="true" outlineLevel="0" collapsed="false">
      <c r="A14" s="28" t="str">
        <f aca="false">'[1]QTD Mgmt Summary'!A13</f>
        <v>Southeast Trading (Carson) </v>
      </c>
      <c r="B14" s="38"/>
      <c r="C14" s="2" t="n">
        <v>469</v>
      </c>
      <c r="D14" s="2" t="n">
        <v>573</v>
      </c>
      <c r="E14" s="2" t="n">
        <v>340</v>
      </c>
      <c r="F14" s="40" t="n">
        <v>475</v>
      </c>
      <c r="G14" s="39" t="n">
        <f aca="false">SUM(C14:F14)</f>
        <v>1857</v>
      </c>
      <c r="H14" s="55" t="n">
        <v>1893</v>
      </c>
      <c r="I14" s="37" t="n">
        <f aca="false">H14-G14</f>
        <v>36</v>
      </c>
    </row>
    <row r="15" customFormat="false" ht="12.75" hidden="false" customHeight="true" outlineLevel="0" collapsed="false">
      <c r="A15" s="28" t="str">
        <f aca="false">'[1]QTD Mgmt Summary'!A14</f>
        <v>Southeast Orig (Kroll) </v>
      </c>
      <c r="B15" s="38"/>
      <c r="C15" s="2" t="n">
        <v>513</v>
      </c>
      <c r="D15" s="2" t="n">
        <v>1329</v>
      </c>
      <c r="E15" s="2" t="n">
        <v>904</v>
      </c>
      <c r="F15" s="40" t="n">
        <v>952</v>
      </c>
      <c r="G15" s="39" t="n">
        <f aca="false">SUM(C15:F15)</f>
        <v>3698</v>
      </c>
      <c r="H15" s="55" t="n">
        <v>3795</v>
      </c>
      <c r="I15" s="37" t="n">
        <f aca="false">H15-G15</f>
        <v>97</v>
      </c>
    </row>
    <row r="16" customFormat="false" ht="12.75" hidden="false" customHeight="true" outlineLevel="0" collapsed="false">
      <c r="A16" s="28" t="str">
        <f aca="false">'[1]QTD Mgmt Summary'!A15</f>
        <v>ERCOT Trading (Curry)</v>
      </c>
      <c r="B16" s="38"/>
      <c r="C16" s="2" t="n">
        <v>247</v>
      </c>
      <c r="D16" s="2" t="n">
        <v>310</v>
      </c>
      <c r="E16" s="2" t="n">
        <v>427</v>
      </c>
      <c r="F16" s="40" t="n">
        <v>200</v>
      </c>
      <c r="G16" s="39" t="n">
        <f aca="false">SUM(C16:F16)</f>
        <v>1184</v>
      </c>
      <c r="H16" s="55" t="n">
        <v>880</v>
      </c>
      <c r="I16" s="37" t="n">
        <f aca="false">H16-G16</f>
        <v>-304</v>
      </c>
    </row>
    <row r="17" customFormat="false" ht="12.75" hidden="false" customHeight="true" outlineLevel="0" collapsed="false">
      <c r="A17" s="28" t="str">
        <f aca="false">'[1]QTD Mgmt Summary'!A16</f>
        <v>ERCOT Orig (Curry/Smith)</v>
      </c>
      <c r="B17" s="38"/>
      <c r="C17" s="2" t="n">
        <v>421</v>
      </c>
      <c r="D17" s="2" t="n">
        <v>123</v>
      </c>
      <c r="E17" s="2" t="n">
        <v>221</v>
      </c>
      <c r="F17" s="40" t="n">
        <v>727</v>
      </c>
      <c r="G17" s="39" t="n">
        <f aca="false">SUM(C17:F17)</f>
        <v>1492</v>
      </c>
      <c r="H17" s="55" t="n">
        <v>3078</v>
      </c>
      <c r="I17" s="37" t="n">
        <f aca="false">H17-G17</f>
        <v>1586</v>
      </c>
    </row>
    <row r="18" customFormat="false" ht="12.75" hidden="false" customHeight="true" outlineLevel="0" collapsed="false">
      <c r="A18" s="28" t="str">
        <f aca="false">'[1]QTD Mgmt Summary'!A17</f>
        <v>Options (Arora)</v>
      </c>
      <c r="B18" s="38"/>
      <c r="C18" s="2" t="n">
        <v>0</v>
      </c>
      <c r="D18" s="2" t="n">
        <v>254</v>
      </c>
      <c r="E18" s="2" t="n">
        <v>225</v>
      </c>
      <c r="F18" s="40" t="n">
        <v>0</v>
      </c>
      <c r="G18" s="39" t="n">
        <f aca="false">SUM(C18:F18)</f>
        <v>479</v>
      </c>
      <c r="H18" s="55" t="n">
        <v>0</v>
      </c>
      <c r="I18" s="37" t="n">
        <f aca="false">H18-G18</f>
        <v>-479</v>
      </c>
    </row>
    <row r="19" customFormat="false" ht="12.75" hidden="false" customHeight="true" outlineLevel="0" collapsed="false">
      <c r="A19" s="28" t="str">
        <f aca="false">'[1]QTD Mgmt Summary'!A18</f>
        <v>Management  Book (Presto)</v>
      </c>
      <c r="B19" s="38"/>
      <c r="C19" s="2" t="n">
        <f aca="false">3150+141</f>
        <v>3291</v>
      </c>
      <c r="D19" s="2" t="n">
        <v>3005</v>
      </c>
      <c r="E19" s="2" t="n">
        <v>2612</v>
      </c>
      <c r="F19" s="40" t="n">
        <v>2622</v>
      </c>
      <c r="G19" s="39" t="n">
        <f aca="false">SUM(C19:F19)</f>
        <v>11530</v>
      </c>
      <c r="H19" s="55" t="n">
        <v>10916</v>
      </c>
      <c r="I19" s="37" t="n">
        <f aca="false">H19-G19</f>
        <v>-614</v>
      </c>
    </row>
    <row r="20" customFormat="false" ht="12.75" hidden="false" customHeight="true" outlineLevel="0" collapsed="false">
      <c r="A20" s="28" t="str">
        <f aca="false">'[1]QTD Mgmt Summary'!A19</f>
        <v>Services (Will)</v>
      </c>
      <c r="B20" s="38"/>
      <c r="C20" s="2" t="n">
        <v>0</v>
      </c>
      <c r="D20" s="2" t="n">
        <v>112</v>
      </c>
      <c r="E20" s="2" t="n">
        <v>166</v>
      </c>
      <c r="F20" s="40" t="n">
        <v>0</v>
      </c>
      <c r="G20" s="39" t="n">
        <f aca="false">SUM(C20:F20)</f>
        <v>278</v>
      </c>
      <c r="H20" s="55" t="n">
        <v>0</v>
      </c>
      <c r="I20" s="37" t="n">
        <f aca="false">H20-G20</f>
        <v>-278</v>
      </c>
    </row>
    <row r="21" customFormat="false" ht="12.75" hidden="false" customHeight="true" outlineLevel="0" collapsed="false">
      <c r="A21" s="28" t="str">
        <f aca="false">'[1]QTD Mgmt Summary'!A20</f>
        <v>Development (Jacoby)</v>
      </c>
      <c r="B21" s="38"/>
      <c r="C21" s="2" t="n">
        <v>2008</v>
      </c>
      <c r="D21" s="2" t="n">
        <v>2100</v>
      </c>
      <c r="E21" s="2" t="n">
        <v>2096</v>
      </c>
      <c r="F21" s="40" t="n">
        <v>2093</v>
      </c>
      <c r="G21" s="39" t="n">
        <f aca="false">SUM(C21:F21)</f>
        <v>8297</v>
      </c>
      <c r="H21" s="55" t="n">
        <v>8381</v>
      </c>
      <c r="I21" s="37" t="n">
        <f aca="false">H21-G21</f>
        <v>84</v>
      </c>
    </row>
    <row r="22" customFormat="false" ht="12.75" hidden="false" customHeight="true" outlineLevel="0" collapsed="false">
      <c r="A22" s="28" t="str">
        <f aca="false">'[1]QTD Mgmt Summary'!A21</f>
        <v>Generation Investments (Duran)</v>
      </c>
      <c r="B22" s="38"/>
      <c r="C22" s="2" t="n">
        <v>2008</v>
      </c>
      <c r="D22" s="2" t="n">
        <v>1658</v>
      </c>
      <c r="E22" s="2" t="n">
        <v>2338</v>
      </c>
      <c r="F22" s="40" t="n">
        <v>1770</v>
      </c>
      <c r="G22" s="39" t="n">
        <f aca="false">SUM(C22:F22)</f>
        <v>7774</v>
      </c>
      <c r="H22" s="55" t="n">
        <v>7082</v>
      </c>
      <c r="I22" s="37" t="n">
        <f aca="false">H22-G22</f>
        <v>-692</v>
      </c>
    </row>
    <row r="23" customFormat="false" ht="12.75" hidden="false" customHeight="true" outlineLevel="0" collapsed="false">
      <c r="A23" s="28" t="str">
        <f aca="false">'[1]QTD Mgmt Summary'!A22</f>
        <v>Structuring/Fundamentals (Meyn/Will)</v>
      </c>
      <c r="B23" s="38"/>
      <c r="C23" s="2" t="n">
        <v>1109</v>
      </c>
      <c r="D23" s="2" t="n">
        <f aca="false">351+780</f>
        <v>1131</v>
      </c>
      <c r="E23" s="2" t="n">
        <v>1714</v>
      </c>
      <c r="F23" s="40" t="n">
        <f aca="false">670+734</f>
        <v>1404</v>
      </c>
      <c r="G23" s="42" t="n">
        <f aca="false">SUM(C23:F23)</f>
        <v>5358</v>
      </c>
      <c r="H23" s="90" t="n">
        <v>5740</v>
      </c>
      <c r="I23" s="37" t="n">
        <f aca="false">H23-G23</f>
        <v>382</v>
      </c>
    </row>
    <row r="24" customFormat="false" ht="12.75" hidden="false" customHeight="true" outlineLevel="0" collapsed="false">
      <c r="A24" s="44" t="s">
        <v>14</v>
      </c>
      <c r="B24" s="45"/>
      <c r="C24" s="46" t="n">
        <f aca="false">SUM(C10:C23)</f>
        <v>12097</v>
      </c>
      <c r="D24" s="47" t="n">
        <f aca="false">SUM(D10:D23)</f>
        <v>12878</v>
      </c>
      <c r="E24" s="47" t="n">
        <f aca="false">SUM(E10:E23)</f>
        <v>13062</v>
      </c>
      <c r="F24" s="48" t="n">
        <f aca="false">SUM(F10:F23)</f>
        <v>13520</v>
      </c>
      <c r="G24" s="49" t="n">
        <f aca="false">SUM(G10:G23)</f>
        <v>51557</v>
      </c>
      <c r="H24" s="48" t="n">
        <f aca="false">SUM(H10:H23)</f>
        <v>55254</v>
      </c>
      <c r="I24" s="51" t="n">
        <f aca="false">SUM(I10:I23)</f>
        <v>3697</v>
      </c>
      <c r="J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</row>
    <row r="25" customFormat="false" ht="12.75" hidden="false" customHeight="true" outlineLevel="0" collapsed="false">
      <c r="A25" s="28" t="str">
        <f aca="false">'[1]QTD Mgmt Summary'!A24</f>
        <v>Trading (Belden)</v>
      </c>
      <c r="B25" s="19"/>
      <c r="C25" s="35" t="n">
        <v>4119</v>
      </c>
      <c r="D25" s="40" t="n">
        <v>5121</v>
      </c>
      <c r="E25" s="2" t="n">
        <v>7454</v>
      </c>
      <c r="F25" s="40" t="n">
        <v>2587</v>
      </c>
      <c r="G25" s="53" t="n">
        <f aca="false">SUM(C25:F25)</f>
        <v>19281</v>
      </c>
      <c r="H25" s="55" t="n">
        <v>10632</v>
      </c>
      <c r="I25" s="54" t="n">
        <f aca="false">H25-G25</f>
        <v>-8649</v>
      </c>
    </row>
    <row r="26" customFormat="false" ht="12.75" hidden="false" customHeight="true" outlineLevel="0" collapsed="false">
      <c r="A26" s="28" t="str">
        <f aca="false">'[1]QTD Mgmt Summary'!A25</f>
        <v>Services (Foster/Wolfe)</v>
      </c>
      <c r="B26" s="19"/>
      <c r="C26" s="35" t="n">
        <v>115</v>
      </c>
      <c r="D26" s="40" t="n">
        <v>120</v>
      </c>
      <c r="E26" s="2" t="n">
        <v>92</v>
      </c>
      <c r="F26" s="40" t="n">
        <v>134</v>
      </c>
      <c r="G26" s="53" t="n">
        <f aca="false">SUM(C26:F26)</f>
        <v>461</v>
      </c>
      <c r="H26" s="55" t="n">
        <v>548</v>
      </c>
      <c r="I26" s="54" t="n">
        <f aca="false">H26-G26</f>
        <v>87</v>
      </c>
    </row>
    <row r="27" customFormat="false" ht="12.75" hidden="false" customHeight="true" outlineLevel="0" collapsed="false">
      <c r="A27" s="28" t="str">
        <f aca="false">'[1]QTD Mgmt Summary'!A26</f>
        <v>Middle Market Originations (Foster)</v>
      </c>
      <c r="B27" s="19"/>
      <c r="C27" s="35" t="n">
        <v>231</v>
      </c>
      <c r="D27" s="40" t="n">
        <v>221</v>
      </c>
      <c r="E27" s="2" t="n">
        <v>214</v>
      </c>
      <c r="F27" s="40" t="n">
        <v>293</v>
      </c>
      <c r="G27" s="53" t="n">
        <f aca="false">SUM(C27:F27)</f>
        <v>959</v>
      </c>
      <c r="H27" s="55" t="n">
        <v>1172</v>
      </c>
      <c r="I27" s="54" t="n">
        <f aca="false">H27-G27</f>
        <v>213</v>
      </c>
    </row>
    <row r="28" customFormat="false" ht="12.75" hidden="false" customHeight="true" outlineLevel="0" collapsed="false">
      <c r="A28" s="28" t="str">
        <f aca="false">'[1]QTD Mgmt Summary'!A27</f>
        <v>Orginations (Thomas/McDonald)</v>
      </c>
      <c r="B28" s="19"/>
      <c r="C28" s="35" t="n">
        <v>1753</v>
      </c>
      <c r="D28" s="40" t="n">
        <v>2866</v>
      </c>
      <c r="E28" s="2" t="n">
        <v>1818</v>
      </c>
      <c r="F28" s="40" t="n">
        <v>1458</v>
      </c>
      <c r="G28" s="53" t="n">
        <f aca="false">SUM(C28:F28)</f>
        <v>7895</v>
      </c>
      <c r="H28" s="55" t="n">
        <v>7894</v>
      </c>
      <c r="I28" s="54" t="n">
        <f aca="false">H28-G28</f>
        <v>-1</v>
      </c>
    </row>
    <row r="29" customFormat="false" ht="12.75" hidden="false" customHeight="true" outlineLevel="0" collapsed="false">
      <c r="A29" s="28" t="str">
        <f aca="false">'[1]QTD Mgmt Summary'!A28</f>
        <v>Executive (Calger)</v>
      </c>
      <c r="B29" s="19"/>
      <c r="C29" s="35" t="n">
        <v>315</v>
      </c>
      <c r="D29" s="40" t="n">
        <v>170</v>
      </c>
      <c r="E29" s="2" t="n">
        <v>325</v>
      </c>
      <c r="F29" s="40" t="n">
        <v>530</v>
      </c>
      <c r="G29" s="53" t="n">
        <f aca="false">SUM(C29:F29)</f>
        <v>1340</v>
      </c>
      <c r="H29" s="55" t="n">
        <v>2874</v>
      </c>
      <c r="I29" s="54" t="n">
        <f aca="false">H29-G29</f>
        <v>1534</v>
      </c>
    </row>
    <row r="30" customFormat="false" ht="12.75" hidden="false" customHeight="true" outlineLevel="0" collapsed="false">
      <c r="A30" s="28" t="str">
        <f aca="false">'[1]QTD Mgmt Summary'!A29</f>
        <v>Generation (Parquet)</v>
      </c>
      <c r="B30" s="19"/>
      <c r="C30" s="35" t="n">
        <v>807</v>
      </c>
      <c r="D30" s="40" t="n">
        <v>591</v>
      </c>
      <c r="E30" s="2" t="n">
        <v>1773</v>
      </c>
      <c r="F30" s="40" t="n">
        <v>2094</v>
      </c>
      <c r="G30" s="53" t="n">
        <f aca="false">SUM(C30:F30)</f>
        <v>5265</v>
      </c>
      <c r="H30" s="55" t="n">
        <v>5466</v>
      </c>
      <c r="I30" s="54" t="n">
        <f aca="false">H30-G30</f>
        <v>201</v>
      </c>
    </row>
    <row r="31" customFormat="false" ht="12.75" hidden="false" customHeight="true" outlineLevel="0" collapsed="false">
      <c r="A31" s="28" t="str">
        <f aca="false">'[1]QTD Mgmt Summary'!A30</f>
        <v>Fundamentals (Heizenreiker)</v>
      </c>
      <c r="B31" s="19"/>
      <c r="C31" s="35" t="n">
        <v>172</v>
      </c>
      <c r="D31" s="55" t="n">
        <v>187</v>
      </c>
      <c r="E31" s="2" t="n">
        <v>246</v>
      </c>
      <c r="F31" s="40" t="n">
        <v>261</v>
      </c>
      <c r="G31" s="53" t="n">
        <f aca="false">SUM(C31:F31)</f>
        <v>866</v>
      </c>
      <c r="H31" s="55" t="n">
        <v>1080</v>
      </c>
      <c r="I31" s="54" t="n">
        <f aca="false">H31-G31</f>
        <v>214</v>
      </c>
    </row>
    <row r="32" customFormat="false" ht="12.75" hidden="false" customHeight="true" outlineLevel="0" collapsed="false">
      <c r="A32" s="44" t="s">
        <v>15</v>
      </c>
      <c r="B32" s="45"/>
      <c r="C32" s="46" t="n">
        <f aca="false">SUM(C25:C31)</f>
        <v>7512</v>
      </c>
      <c r="D32" s="47" t="n">
        <f aca="false">SUM(D25:D31)</f>
        <v>9276</v>
      </c>
      <c r="E32" s="47" t="n">
        <f aca="false">SUM(E25:E31)</f>
        <v>11922</v>
      </c>
      <c r="F32" s="48" t="n">
        <f aca="false">SUM(F25:F31)</f>
        <v>7357</v>
      </c>
      <c r="G32" s="49" t="n">
        <f aca="false">SUM(G25:G31)</f>
        <v>36067</v>
      </c>
      <c r="H32" s="48" t="n">
        <f aca="false">SUM(H25:H31)</f>
        <v>29666</v>
      </c>
      <c r="I32" s="51" t="n">
        <f aca="false">SUM(I25:I31)</f>
        <v>-6401</v>
      </c>
      <c r="J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  <c r="IW32" s="52"/>
    </row>
    <row r="33" customFormat="false" ht="12.75" hidden="false" customHeight="true" outlineLevel="0" collapsed="false">
      <c r="A33" s="28" t="str">
        <f aca="false">'[1]QTD Mgmt Summary'!A32</f>
        <v>East Trading (Neal)</v>
      </c>
      <c r="B33" s="19"/>
      <c r="C33" s="35" t="n">
        <v>2060</v>
      </c>
      <c r="D33" s="40" t="n">
        <v>4764</v>
      </c>
      <c r="E33" s="2" t="n">
        <v>1613</v>
      </c>
      <c r="F33" s="2" t="n">
        <v>1903</v>
      </c>
      <c r="G33" s="56" t="n">
        <f aca="false">SUM(C33:F33)</f>
        <v>10340</v>
      </c>
      <c r="H33" s="55" t="n">
        <v>7663</v>
      </c>
      <c r="I33" s="57" t="n">
        <f aca="false">H33-G33</f>
        <v>-2677</v>
      </c>
    </row>
    <row r="34" customFormat="false" ht="12.75" hidden="false" customHeight="true" outlineLevel="0" collapsed="false">
      <c r="A34" s="28" t="str">
        <f aca="false">'[1]QTD Mgmt Summary'!A33</f>
        <v>East Origination (Vickers)</v>
      </c>
      <c r="B34" s="19"/>
      <c r="C34" s="35" t="n">
        <v>758</v>
      </c>
      <c r="D34" s="40" t="n">
        <v>933</v>
      </c>
      <c r="E34" s="2" t="n">
        <v>788</v>
      </c>
      <c r="F34" s="2" t="n">
        <v>975</v>
      </c>
      <c r="G34" s="56" t="n">
        <f aca="false">SUM(C34:F34)</f>
        <v>3454</v>
      </c>
      <c r="H34" s="55" t="n">
        <v>3959</v>
      </c>
      <c r="I34" s="54" t="n">
        <f aca="false">H34-G34</f>
        <v>505</v>
      </c>
    </row>
    <row r="35" customFormat="false" ht="12.75" hidden="false" customHeight="true" outlineLevel="0" collapsed="false">
      <c r="A35" s="28" t="str">
        <f aca="false">'[1]QTD Mgmt Summary'!A34</f>
        <v>Central Trading (Shively)</v>
      </c>
      <c r="B35" s="19"/>
      <c r="C35" s="35" t="n">
        <v>1551</v>
      </c>
      <c r="D35" s="40" t="n">
        <v>1583</v>
      </c>
      <c r="E35" s="2" t="n">
        <v>1042</v>
      </c>
      <c r="F35" s="2" t="n">
        <v>1640</v>
      </c>
      <c r="G35" s="56" t="n">
        <f aca="false">SUM(C35:F35)</f>
        <v>5816</v>
      </c>
      <c r="H35" s="55" t="n">
        <v>6667</v>
      </c>
      <c r="I35" s="57" t="n">
        <f aca="false">H35-G35</f>
        <v>851</v>
      </c>
    </row>
    <row r="36" customFormat="false" ht="12.75" hidden="false" customHeight="true" outlineLevel="0" collapsed="false">
      <c r="A36" s="28" t="str">
        <f aca="false">'[1]QTD Mgmt Summary'!A35</f>
        <v>Central Origination (Luce)</v>
      </c>
      <c r="B36" s="19"/>
      <c r="C36" s="35" t="n">
        <v>457</v>
      </c>
      <c r="D36" s="40" t="n">
        <v>517</v>
      </c>
      <c r="E36" s="2" t="n">
        <v>995</v>
      </c>
      <c r="F36" s="2" t="n">
        <v>813</v>
      </c>
      <c r="G36" s="56" t="n">
        <f aca="false">SUM(C36:F36)</f>
        <v>2782</v>
      </c>
      <c r="H36" s="55" t="n">
        <v>3415</v>
      </c>
      <c r="I36" s="54" t="n">
        <f aca="false">H36-G36</f>
        <v>633</v>
      </c>
    </row>
    <row r="37" customFormat="false" ht="12.75" hidden="false" customHeight="true" outlineLevel="0" collapsed="false">
      <c r="A37" s="28" t="str">
        <f aca="false">'[1]QTD Mgmt Summary'!A36</f>
        <v>Texas Trading (Martin)</v>
      </c>
      <c r="B37" s="19"/>
      <c r="C37" s="39" t="n">
        <v>1290</v>
      </c>
      <c r="D37" s="55" t="n">
        <v>772</v>
      </c>
      <c r="E37" s="2" t="n">
        <v>1022</v>
      </c>
      <c r="F37" s="2" t="n">
        <v>1082</v>
      </c>
      <c r="G37" s="56" t="n">
        <f aca="false">SUM(C37:F37)</f>
        <v>4166</v>
      </c>
      <c r="H37" s="55" t="n">
        <v>4901</v>
      </c>
      <c r="I37" s="54" t="n">
        <f aca="false">H37-G37</f>
        <v>735</v>
      </c>
    </row>
    <row r="38" customFormat="false" ht="12.75" hidden="false" customHeight="true" outlineLevel="0" collapsed="false">
      <c r="A38" s="28" t="str">
        <f aca="false">'[1]QTD Mgmt Summary'!A37</f>
        <v>Texas Origination (Redmond)</v>
      </c>
      <c r="B38" s="19"/>
      <c r="C38" s="39" t="n">
        <v>0</v>
      </c>
      <c r="D38" s="55" t="n">
        <v>0</v>
      </c>
      <c r="E38" s="2" t="n">
        <v>386</v>
      </c>
      <c r="F38" s="2" t="n">
        <v>0</v>
      </c>
      <c r="G38" s="56" t="n">
        <f aca="false">SUM(C38:F38)</f>
        <v>386</v>
      </c>
      <c r="H38" s="55" t="n">
        <v>0</v>
      </c>
      <c r="I38" s="54" t="n">
        <f aca="false">H38-G38</f>
        <v>-386</v>
      </c>
    </row>
    <row r="39" customFormat="false" ht="12.75" hidden="false" customHeight="true" outlineLevel="0" collapsed="false">
      <c r="A39" s="28" t="str">
        <f aca="false">'[1]QTD Mgmt Summary'!A38</f>
        <v>West Trading (Allen)</v>
      </c>
      <c r="B39" s="19"/>
      <c r="C39" s="39" t="n">
        <v>1247</v>
      </c>
      <c r="D39" s="55" t="n">
        <v>1217</v>
      </c>
      <c r="E39" s="2" t="n">
        <v>1080</v>
      </c>
      <c r="F39" s="2" t="n">
        <v>1117</v>
      </c>
      <c r="G39" s="56" t="n">
        <f aca="false">SUM(C39:F39)</f>
        <v>4661</v>
      </c>
      <c r="H39" s="55" t="n">
        <v>4485</v>
      </c>
      <c r="I39" s="54" t="n">
        <f aca="false">H39-G39</f>
        <v>-176</v>
      </c>
    </row>
    <row r="40" customFormat="false" ht="12.75" hidden="false" customHeight="true" outlineLevel="0" collapsed="false">
      <c r="A40" s="28" t="str">
        <f aca="false">'[1]QTD Mgmt Summary'!A39</f>
        <v>West Origination (Tycholiz)</v>
      </c>
      <c r="B40" s="19"/>
      <c r="C40" s="39" t="n">
        <v>415</v>
      </c>
      <c r="D40" s="55" t="n">
        <v>648</v>
      </c>
      <c r="E40" s="2" t="n">
        <v>572</v>
      </c>
      <c r="F40" s="2" t="n">
        <v>651</v>
      </c>
      <c r="G40" s="56" t="n">
        <f aca="false">SUM(C40:F40)</f>
        <v>2286</v>
      </c>
      <c r="H40" s="55" t="n">
        <v>2699</v>
      </c>
      <c r="I40" s="54" t="n">
        <f aca="false">H40-G40</f>
        <v>413</v>
      </c>
    </row>
    <row r="41" customFormat="false" ht="12.75" hidden="false" customHeight="true" outlineLevel="0" collapsed="false">
      <c r="A41" s="28" t="str">
        <f aca="false">'[1]QTD Mgmt Summary'!A40</f>
        <v>Financial Gas (Arnold)</v>
      </c>
      <c r="B41" s="19"/>
      <c r="C41" s="39" t="n">
        <v>364</v>
      </c>
      <c r="D41" s="55" t="n">
        <v>560</v>
      </c>
      <c r="E41" s="2" t="n">
        <v>396</v>
      </c>
      <c r="F41" s="2" t="n">
        <v>402</v>
      </c>
      <c r="G41" s="56" t="n">
        <f aca="false">SUM(C41:F41)</f>
        <v>1722</v>
      </c>
      <c r="H41" s="55" t="n">
        <v>1653</v>
      </c>
      <c r="I41" s="54" t="n">
        <f aca="false">H41-G41</f>
        <v>-69</v>
      </c>
    </row>
    <row r="42" customFormat="false" ht="12.75" hidden="false" customHeight="true" outlineLevel="0" collapsed="false">
      <c r="A42" s="28" t="str">
        <f aca="false">'[1]QTD Mgmt Summary'!A41</f>
        <v>Derivative Origination (Lagrasta)</v>
      </c>
      <c r="B42" s="19"/>
      <c r="C42" s="39" t="n">
        <v>1009</v>
      </c>
      <c r="D42" s="55" t="n">
        <v>1064</v>
      </c>
      <c r="E42" s="2" t="n">
        <v>944</v>
      </c>
      <c r="F42" s="2" t="n">
        <v>1084</v>
      </c>
      <c r="G42" s="56" t="n">
        <f aca="false">SUM(C42:F42)</f>
        <v>4101</v>
      </c>
      <c r="H42" s="55" t="n">
        <v>4402</v>
      </c>
      <c r="I42" s="54" t="n">
        <f aca="false">H42-G42</f>
        <v>301</v>
      </c>
    </row>
    <row r="43" customFormat="false" ht="12.75" hidden="false" customHeight="true" outlineLevel="0" collapsed="false">
      <c r="A43" s="28" t="str">
        <f aca="false">'[1]QTD Mgmt Summary'!A42</f>
        <v>NG Structuring (McMichael)</v>
      </c>
      <c r="B43" s="19"/>
      <c r="C43" s="39" t="n">
        <v>497</v>
      </c>
      <c r="D43" s="55" t="n">
        <v>389</v>
      </c>
      <c r="E43" s="2" t="n">
        <v>542</v>
      </c>
      <c r="F43" s="2" t="n">
        <v>676</v>
      </c>
      <c r="G43" s="56" t="n">
        <f aca="false">SUM(C43:F43)</f>
        <v>2104</v>
      </c>
      <c r="H43" s="55" t="n">
        <v>2738</v>
      </c>
      <c r="I43" s="54" t="n">
        <f aca="false">H43-G43</f>
        <v>634</v>
      </c>
    </row>
    <row r="44" customFormat="false" ht="12.75" hidden="false" customHeight="true" outlineLevel="0" collapsed="false">
      <c r="A44" s="28" t="str">
        <f aca="false">'[1]QTD Mgmt Summary'!A43</f>
        <v>NG Fundamentals (Gaskill)</v>
      </c>
      <c r="B44" s="19"/>
      <c r="C44" s="39" t="n">
        <v>272</v>
      </c>
      <c r="D44" s="55" t="n">
        <v>527</v>
      </c>
      <c r="E44" s="2" t="n">
        <v>690</v>
      </c>
      <c r="F44" s="2" t="n">
        <v>508</v>
      </c>
      <c r="G44" s="56" t="n">
        <f aca="false">SUM(C44:F44)</f>
        <v>1997</v>
      </c>
      <c r="H44" s="55" t="n">
        <v>2091</v>
      </c>
      <c r="I44" s="54" t="n">
        <f aca="false">H44-G44</f>
        <v>94</v>
      </c>
    </row>
    <row r="45" customFormat="false" ht="12.75" hidden="false" customHeight="true" outlineLevel="0" collapsed="false">
      <c r="A45" s="28" t="str">
        <f aca="false">'[1]QTD Mgmt Summary'!A44</f>
        <v>Management</v>
      </c>
      <c r="B45" s="19"/>
      <c r="C45" s="39" t="n">
        <v>0</v>
      </c>
      <c r="D45" s="55" t="n">
        <v>0</v>
      </c>
      <c r="E45" s="2" t="n">
        <v>0</v>
      </c>
      <c r="F45" s="2" t="n">
        <v>0</v>
      </c>
      <c r="G45" s="56" t="n">
        <f aca="false">SUM(C45:F45)</f>
        <v>0</v>
      </c>
      <c r="H45" s="55" t="n">
        <v>0</v>
      </c>
      <c r="I45" s="54" t="n">
        <f aca="false">H45-G45</f>
        <v>0</v>
      </c>
    </row>
    <row r="46" customFormat="false" ht="12.75" hidden="false" customHeight="true" outlineLevel="0" collapsed="false">
      <c r="A46" s="44" t="s">
        <v>16</v>
      </c>
      <c r="B46" s="45"/>
      <c r="C46" s="46" t="n">
        <f aca="false">SUM(C33:C45)</f>
        <v>9920</v>
      </c>
      <c r="D46" s="47" t="n">
        <f aca="false">SUM(D33:D45)</f>
        <v>12974</v>
      </c>
      <c r="E46" s="47" t="n">
        <f aca="false">SUM(E33:E45)</f>
        <v>10070</v>
      </c>
      <c r="F46" s="48" t="n">
        <f aca="false">SUM(F33:F45)</f>
        <v>10851</v>
      </c>
      <c r="G46" s="49" t="n">
        <f aca="false">SUM(G33:G45)</f>
        <v>43815</v>
      </c>
      <c r="H46" s="48" t="n">
        <f aca="false">SUM(H33:H45)</f>
        <v>44673</v>
      </c>
      <c r="I46" s="51" t="n">
        <f aca="false">SUM(I33:I45)</f>
        <v>858</v>
      </c>
      <c r="J46" s="52"/>
      <c r="L46" s="58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</row>
    <row r="47" customFormat="false" ht="12.75" hidden="false" customHeight="true" outlineLevel="0" collapsed="false">
      <c r="A47" s="28" t="str">
        <f aca="false">'[1]QTD Mgmt Summary'!A46</f>
        <v>Natural Gas Trading (Zufferli)</v>
      </c>
      <c r="B47" s="19"/>
      <c r="C47" s="35" t="n">
        <v>1617</v>
      </c>
      <c r="D47" s="40" t="n">
        <v>1063</v>
      </c>
      <c r="E47" s="2" t="n">
        <v>735</v>
      </c>
      <c r="F47" s="59" t="n">
        <v>730</v>
      </c>
      <c r="G47" s="56" t="n">
        <f aca="false">SUM(C47:F47)</f>
        <v>4145</v>
      </c>
      <c r="H47" s="55" t="n">
        <v>2433</v>
      </c>
      <c r="I47" s="57" t="n">
        <f aca="false">H47-G47</f>
        <v>-1712</v>
      </c>
    </row>
    <row r="48" customFormat="false" ht="12.75" hidden="false" customHeight="true" outlineLevel="0" collapsed="false">
      <c r="A48" s="28" t="str">
        <f aca="false">'[1]QTD Mgmt Summary'!A47</f>
        <v>Natural Gas Origination (LeDain)</v>
      </c>
      <c r="B48" s="19"/>
      <c r="C48" s="35" t="n">
        <v>235</v>
      </c>
      <c r="D48" s="40" t="n">
        <v>234</v>
      </c>
      <c r="E48" s="2" t="n">
        <v>233</v>
      </c>
      <c r="F48" s="40" t="n">
        <v>487</v>
      </c>
      <c r="G48" s="39" t="n">
        <f aca="false">SUM(C48:F48)</f>
        <v>1189</v>
      </c>
      <c r="H48" s="55" t="n">
        <v>2433</v>
      </c>
      <c r="I48" s="54" t="n">
        <f aca="false">H48-G48</f>
        <v>1244</v>
      </c>
    </row>
    <row r="49" customFormat="false" ht="12.75" hidden="false" customHeight="true" outlineLevel="0" collapsed="false">
      <c r="A49" s="28" t="str">
        <f aca="false">'[1]QTD Mgmt Summary'!A48</f>
        <v>Finance (Kitagawa)</v>
      </c>
      <c r="B49" s="19"/>
      <c r="C49" s="35" t="n">
        <v>455</v>
      </c>
      <c r="D49" s="40" t="n">
        <v>-113</v>
      </c>
      <c r="E49" s="2" t="n">
        <v>159</v>
      </c>
      <c r="F49" s="59" t="n">
        <v>423</v>
      </c>
      <c r="G49" s="60" t="n">
        <f aca="false">SUM(C49:F49)</f>
        <v>924</v>
      </c>
      <c r="H49" s="55" t="n">
        <v>1692</v>
      </c>
      <c r="I49" s="57" t="n">
        <f aca="false">H49-G49</f>
        <v>768</v>
      </c>
    </row>
    <row r="50" customFormat="false" ht="12.75" hidden="false" customHeight="true" outlineLevel="0" collapsed="false">
      <c r="A50" s="28" t="str">
        <f aca="false">'[1]QTD Mgmt Summary'!A49</f>
        <v>Alberta Power Trading (Zufferli)</v>
      </c>
      <c r="B50" s="19"/>
      <c r="C50" s="35" t="n">
        <v>300</v>
      </c>
      <c r="D50" s="40" t="n">
        <v>486</v>
      </c>
      <c r="E50" s="2" t="n">
        <v>374</v>
      </c>
      <c r="F50" s="40" t="n">
        <v>247</v>
      </c>
      <c r="G50" s="39" t="n">
        <f aca="false">SUM(C50:F50)</f>
        <v>1407</v>
      </c>
      <c r="H50" s="55" t="n">
        <v>988</v>
      </c>
      <c r="I50" s="54" t="n">
        <f aca="false">H50-G50</f>
        <v>-419</v>
      </c>
    </row>
    <row r="51" customFormat="false" ht="12.75" hidden="false" customHeight="true" outlineLevel="0" collapsed="false">
      <c r="A51" s="28" t="str">
        <f aca="false">'[1]QTD Mgmt Summary'!A50</f>
        <v>Alberta Power Orig (Davies)</v>
      </c>
      <c r="B51" s="19"/>
      <c r="C51" s="35" t="n">
        <v>95</v>
      </c>
      <c r="D51" s="40" t="n">
        <v>96</v>
      </c>
      <c r="E51" s="2" t="n">
        <v>137</v>
      </c>
      <c r="F51" s="40" t="n">
        <v>327</v>
      </c>
      <c r="G51" s="39" t="n">
        <f aca="false">SUM(C51:F51)</f>
        <v>655</v>
      </c>
      <c r="H51" s="55" t="n">
        <v>1308</v>
      </c>
      <c r="I51" s="54" t="n">
        <f aca="false">H51-G51</f>
        <v>653</v>
      </c>
    </row>
    <row r="52" customFormat="false" ht="12.75" hidden="false" customHeight="true" outlineLevel="0" collapsed="false">
      <c r="A52" s="28" t="str">
        <f aca="false">'[1]QTD Mgmt Summary'!A51</f>
        <v>Ontario Power (Devries)</v>
      </c>
      <c r="B52" s="19"/>
      <c r="C52" s="35" t="n">
        <v>351</v>
      </c>
      <c r="D52" s="40" t="n">
        <v>301</v>
      </c>
      <c r="E52" s="2" t="n">
        <v>335</v>
      </c>
      <c r="F52" s="40" t="n">
        <v>1155</v>
      </c>
      <c r="G52" s="39" t="n">
        <f aca="false">SUM(C52:F52)</f>
        <v>2142</v>
      </c>
      <c r="H52" s="55" t="n">
        <v>4621</v>
      </c>
      <c r="I52" s="54" t="n">
        <f aca="false">H52-G52</f>
        <v>2479</v>
      </c>
    </row>
    <row r="53" customFormat="false" ht="12.75" hidden="false" customHeight="true" outlineLevel="0" collapsed="false">
      <c r="A53" s="28" t="str">
        <f aca="false">'[1]QTD Mgmt Summary'!A52</f>
        <v>Executive (Milnthorp)</v>
      </c>
      <c r="B53" s="19"/>
      <c r="C53" s="35" t="n">
        <f aca="false">586+31</f>
        <v>617</v>
      </c>
      <c r="D53" s="40" t="n">
        <v>595</v>
      </c>
      <c r="E53" s="2" t="n">
        <v>601</v>
      </c>
      <c r="F53" s="40" t="n">
        <v>1314</v>
      </c>
      <c r="G53" s="39" t="n">
        <f aca="false">SUM(C53:F53)</f>
        <v>3127</v>
      </c>
      <c r="H53" s="55" t="n">
        <v>5255</v>
      </c>
      <c r="I53" s="54" t="n">
        <f aca="false">H53-G53</f>
        <v>2128</v>
      </c>
    </row>
    <row r="54" customFormat="false" ht="12.75" hidden="false" customHeight="true" outlineLevel="0" collapsed="false">
      <c r="A54" s="44" t="s">
        <v>17</v>
      </c>
      <c r="B54" s="45"/>
      <c r="C54" s="46" t="n">
        <f aca="false">SUM(C47:C53)</f>
        <v>3670</v>
      </c>
      <c r="D54" s="47" t="n">
        <f aca="false">SUM(D47:D53)</f>
        <v>2662</v>
      </c>
      <c r="E54" s="47" t="n">
        <f aca="false">SUM(E47:E53)</f>
        <v>2574</v>
      </c>
      <c r="F54" s="47" t="n">
        <f aca="false">SUM(F47:F53)</f>
        <v>4683</v>
      </c>
      <c r="G54" s="46" t="n">
        <f aca="false">SUM(G47:G53)</f>
        <v>13589</v>
      </c>
      <c r="H54" s="47" t="n">
        <f aca="false">SUM(H47:H53)</f>
        <v>18730</v>
      </c>
      <c r="I54" s="62" t="n">
        <f aca="false">SUM(I47:I53)</f>
        <v>5141</v>
      </c>
      <c r="J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  <c r="IW54" s="52"/>
    </row>
    <row r="55" customFormat="false" ht="12.75" hidden="false" customHeight="true" outlineLevel="0" collapsed="false">
      <c r="A55" s="28" t="str">
        <f aca="false">'[1]QTD Mgmt Summary'!A54</f>
        <v>Upstream Products (Mrha)</v>
      </c>
      <c r="B55" s="19"/>
      <c r="C55" s="35" t="n">
        <f aca="false">585+246+423</f>
        <v>1254</v>
      </c>
      <c r="D55" s="2" t="n">
        <v>2397</v>
      </c>
      <c r="E55" s="2" t="n">
        <v>-538</v>
      </c>
      <c r="F55" s="55" t="n">
        <f aca="false">221+427+423+256+156+144</f>
        <v>1627</v>
      </c>
      <c r="G55" s="39" t="n">
        <f aca="false">SUM(C55:F55)</f>
        <v>4740</v>
      </c>
      <c r="H55" s="55" t="n">
        <v>6704</v>
      </c>
      <c r="I55" s="54" t="n">
        <f aca="false">H55-G55</f>
        <v>1964</v>
      </c>
    </row>
    <row r="56" customFormat="false" ht="12.75" hidden="false" customHeight="true" outlineLevel="0" collapsed="false">
      <c r="A56" s="28" t="str">
        <f aca="false">'[1]QTD Mgmt Summary'!A55</f>
        <v>Bridgeline (Redmond)</v>
      </c>
      <c r="B56" s="19"/>
      <c r="C56" s="39" t="n">
        <v>0</v>
      </c>
      <c r="D56" s="55" t="n">
        <v>0</v>
      </c>
      <c r="E56" s="2" t="n">
        <v>0</v>
      </c>
      <c r="F56" s="55" t="n">
        <v>0</v>
      </c>
      <c r="G56" s="39" t="n">
        <f aca="false">SUM(C56:F56)</f>
        <v>0</v>
      </c>
      <c r="H56" s="55" t="n">
        <v>0</v>
      </c>
      <c r="I56" s="54" t="n">
        <f aca="false">H56-G56</f>
        <v>0</v>
      </c>
    </row>
    <row r="57" customFormat="false" ht="12.75" hidden="false" customHeight="true" outlineLevel="0" collapsed="false">
      <c r="A57" s="28" t="str">
        <f aca="false">'[1]QTD Mgmt Summary'!A56</f>
        <v>HPL (Redmond)</v>
      </c>
      <c r="B57" s="19"/>
      <c r="C57" s="39" t="n">
        <f aca="false">4836</f>
        <v>4836</v>
      </c>
      <c r="D57" s="55" t="n">
        <f aca="false">3010</f>
        <v>3010</v>
      </c>
      <c r="E57" s="2" t="n">
        <v>18831</v>
      </c>
      <c r="F57" s="55" t="n">
        <v>94</v>
      </c>
      <c r="G57" s="39" t="n">
        <f aca="false">SUM(C57:F57)</f>
        <v>26771</v>
      </c>
      <c r="H57" s="55" t="n">
        <v>112265</v>
      </c>
      <c r="I57" s="54" t="n">
        <f aca="false">H57-G57</f>
        <v>85494</v>
      </c>
    </row>
    <row r="58" customFormat="false" ht="12.75" hidden="false" customHeight="true" outlineLevel="0" collapsed="false">
      <c r="A58" s="28" t="str">
        <f aca="false">'[1]QTD Mgmt Summary'!A57</f>
        <v>Mexico (Irvin/Williams)</v>
      </c>
      <c r="B58" s="19"/>
      <c r="C58" s="39" t="n">
        <v>1106</v>
      </c>
      <c r="D58" s="55" t="n">
        <v>1429</v>
      </c>
      <c r="E58" s="2" t="n">
        <v>1700</v>
      </c>
      <c r="F58" s="63" t="n">
        <v>1402</v>
      </c>
      <c r="G58" s="60" t="n">
        <f aca="false">SUM(C58:F58)</f>
        <v>5637</v>
      </c>
      <c r="H58" s="55" t="n">
        <v>5543</v>
      </c>
      <c r="I58" s="54" t="n">
        <f aca="false">H58-G58</f>
        <v>-94</v>
      </c>
    </row>
    <row r="59" customFormat="false" ht="12.75" hidden="false" customHeight="true" outlineLevel="0" collapsed="false">
      <c r="A59" s="28" t="str">
        <f aca="false">'[1]QTD Mgmt Summary'!A58</f>
        <v>Energy Capital Svcs (Thompson/Josey)</v>
      </c>
      <c r="B59" s="19"/>
      <c r="C59" s="39" t="n">
        <v>1981</v>
      </c>
      <c r="D59" s="55" t="n">
        <v>1359</v>
      </c>
      <c r="E59" s="2" t="n">
        <v>1866</v>
      </c>
      <c r="F59" s="63" t="n">
        <v>1920</v>
      </c>
      <c r="G59" s="60" t="n">
        <f aca="false">SUM(C59:F59)</f>
        <v>7126</v>
      </c>
      <c r="H59" s="55" t="n">
        <v>7789</v>
      </c>
      <c r="I59" s="54" t="n">
        <f aca="false">H59-G59</f>
        <v>663</v>
      </c>
    </row>
    <row r="60" customFormat="false" ht="12.75" hidden="false" customHeight="true" outlineLevel="0" collapsed="false">
      <c r="A60" s="28" t="str">
        <f aca="false">'[1]QTD Mgmt Summary'!A59</f>
        <v>Mariner</v>
      </c>
      <c r="B60" s="19"/>
      <c r="C60" s="39" t="n">
        <v>0</v>
      </c>
      <c r="D60" s="55" t="n">
        <v>0</v>
      </c>
      <c r="E60" s="2" t="n">
        <v>0</v>
      </c>
      <c r="F60" s="63" t="n">
        <v>0</v>
      </c>
      <c r="G60" s="60" t="n">
        <f aca="false">SUM(C60:F60)</f>
        <v>0</v>
      </c>
      <c r="H60" s="55" t="n">
        <v>0</v>
      </c>
      <c r="I60" s="54" t="n">
        <f aca="false">H60-G60</f>
        <v>0</v>
      </c>
    </row>
    <row r="61" customFormat="false" ht="12.75" hidden="false" customHeight="true" outlineLevel="0" collapsed="false">
      <c r="A61" s="28" t="str">
        <f aca="false">'[1]QTD Mgmt Summary'!A60</f>
        <v>Asset Marketing (D. Miller)</v>
      </c>
      <c r="B61" s="38"/>
      <c r="C61" s="39" t="n">
        <v>0</v>
      </c>
      <c r="D61" s="55" t="n">
        <v>269</v>
      </c>
      <c r="E61" s="2" t="n">
        <v>252</v>
      </c>
      <c r="F61" s="55" t="n">
        <v>343</v>
      </c>
      <c r="G61" s="39" t="n">
        <f aca="false">SUM(C61:F61)</f>
        <v>864</v>
      </c>
      <c r="H61" s="55" t="n">
        <v>1017</v>
      </c>
      <c r="I61" s="54" t="n">
        <f aca="false">H61-G61</f>
        <v>153</v>
      </c>
    </row>
    <row r="62" customFormat="false" ht="12.75" hidden="false" customHeight="true" outlineLevel="0" collapsed="false">
      <c r="A62" s="28" t="str">
        <f aca="false">GrossMargin!A62</f>
        <v>Principal Investing (Miller)</v>
      </c>
      <c r="B62" s="38"/>
      <c r="C62" s="39" t="n">
        <v>979</v>
      </c>
      <c r="D62" s="55" t="n">
        <v>742</v>
      </c>
      <c r="E62" s="2" t="n">
        <v>0</v>
      </c>
      <c r="F62" s="55" t="n">
        <v>0</v>
      </c>
      <c r="G62" s="39" t="n">
        <f aca="false">SUM(C62:F62)</f>
        <v>1721</v>
      </c>
      <c r="H62" s="55" t="n">
        <v>1782</v>
      </c>
      <c r="I62" s="54" t="n">
        <f aca="false">H62-G62</f>
        <v>61</v>
      </c>
    </row>
    <row r="63" customFormat="false" ht="12.75" hidden="false" customHeight="true" outlineLevel="0" collapsed="false">
      <c r="A63" s="28" t="str">
        <f aca="false">GrossMargin!A63</f>
        <v>Corporate Development (Detmering)</v>
      </c>
      <c r="B63" s="38"/>
      <c r="C63" s="39" t="n">
        <v>700</v>
      </c>
      <c r="D63" s="55" t="n">
        <v>0</v>
      </c>
      <c r="E63" s="2" t="n">
        <v>0</v>
      </c>
      <c r="F63" s="55" t="n">
        <v>0</v>
      </c>
      <c r="G63" s="39" t="n">
        <f aca="false">SUM(C63:F63)</f>
        <v>700</v>
      </c>
      <c r="H63" s="55" t="n">
        <v>720</v>
      </c>
      <c r="I63" s="54" t="n">
        <f aca="false">H63-G63</f>
        <v>20</v>
      </c>
    </row>
    <row r="64" customFormat="false" ht="12.75" hidden="false" customHeight="true" outlineLevel="0" collapsed="false">
      <c r="A64" s="28" t="str">
        <f aca="false">'[1]QTD Mgmt Summary'!A61</f>
        <v>Sold Peakers</v>
      </c>
      <c r="B64" s="38"/>
      <c r="C64" s="39" t="n">
        <f aca="false">895</f>
        <v>895</v>
      </c>
      <c r="D64" s="55" t="n">
        <v>1522</v>
      </c>
      <c r="E64" s="2" t="n">
        <v>770</v>
      </c>
      <c r="F64" s="55" t="n">
        <v>15562</v>
      </c>
      <c r="G64" s="39" t="n">
        <f aca="false">SUM(C64:F64)</f>
        <v>18749</v>
      </c>
      <c r="H64" s="55" t="n">
        <v>15562</v>
      </c>
      <c r="I64" s="54" t="n">
        <f aca="false">H64-G64</f>
        <v>-3187</v>
      </c>
    </row>
    <row r="65" customFormat="false" ht="12.75" hidden="false" customHeight="true" outlineLevel="0" collapsed="false">
      <c r="A65" s="28" t="str">
        <f aca="false">'[1]QTD Mgmt Summary'!A62</f>
        <v>Cross Commodity (Lavorato)</v>
      </c>
      <c r="B65" s="38"/>
      <c r="C65" s="39" t="n">
        <v>0</v>
      </c>
      <c r="D65" s="55" t="n">
        <v>0</v>
      </c>
      <c r="E65" s="2" t="n">
        <v>0</v>
      </c>
      <c r="F65" s="55"/>
      <c r="G65" s="39" t="n">
        <f aca="false">SUM(C65:F65)</f>
        <v>0</v>
      </c>
      <c r="H65" s="55" t="n">
        <v>0</v>
      </c>
      <c r="I65" s="54" t="n">
        <f aca="false">H65-G65</f>
        <v>0</v>
      </c>
    </row>
    <row r="66" customFormat="false" ht="12.75" hidden="false" customHeight="true" outlineLevel="0" collapsed="false">
      <c r="A66" s="28" t="str">
        <f aca="false">'[1]QTD Mgmt Summary'!A63</f>
        <v>Office of the Chairman (Lavorato/Kitchen)</v>
      </c>
      <c r="B66" s="19"/>
      <c r="C66" s="39" t="n">
        <v>1278</v>
      </c>
      <c r="D66" s="55" t="n">
        <v>1336</v>
      </c>
      <c r="E66" s="2" t="n">
        <v>1207</v>
      </c>
      <c r="F66" s="55" t="n">
        <f aca="false">1932</f>
        <v>1932</v>
      </c>
      <c r="G66" s="39" t="n">
        <f aca="false">SUM(C66:F66)</f>
        <v>5753</v>
      </c>
      <c r="H66" s="55" t="n">
        <v>5328</v>
      </c>
      <c r="I66" s="54" t="n">
        <f aca="false">H66-G66</f>
        <v>-425</v>
      </c>
    </row>
    <row r="67" customFormat="false" ht="12.75" hidden="false" customHeight="true" outlineLevel="0" collapsed="false">
      <c r="A67" s="28" t="str">
        <f aca="false">'[1]QTD Mgmt Summary'!A64</f>
        <v>TVA Settlement</v>
      </c>
      <c r="B67" s="19"/>
      <c r="C67" s="39" t="n">
        <v>253300</v>
      </c>
      <c r="D67" s="55" t="n">
        <v>0</v>
      </c>
      <c r="E67" s="2" t="n">
        <v>0</v>
      </c>
      <c r="F67" s="55" t="n">
        <v>0</v>
      </c>
      <c r="G67" s="39" t="n">
        <f aca="false">SUM(C67:F67)</f>
        <v>253300</v>
      </c>
      <c r="H67" s="55" t="n">
        <v>0</v>
      </c>
      <c r="I67" s="54" t="n">
        <f aca="false">H67-G67</f>
        <v>-253300</v>
      </c>
    </row>
    <row r="68" customFormat="false" ht="12.75" hidden="false" customHeight="true" outlineLevel="0" collapsed="false">
      <c r="A68" s="28" t="str">
        <f aca="false">'[1]QTD Mgmt Summary'!A65</f>
        <v>Other *</v>
      </c>
      <c r="B68" s="19"/>
      <c r="C68" s="39" t="n">
        <f aca="false">257+1193</f>
        <v>1450</v>
      </c>
      <c r="D68" s="55" t="n">
        <f aca="false">243+2145</f>
        <v>2388</v>
      </c>
      <c r="E68" s="2" t="n">
        <v>307</v>
      </c>
      <c r="F68" s="63" t="n">
        <f aca="false">294+315</f>
        <v>609</v>
      </c>
      <c r="G68" s="60" t="n">
        <f aca="false">SUM(C68:F68)</f>
        <v>4754</v>
      </c>
      <c r="H68" s="55" t="n">
        <v>5263</v>
      </c>
      <c r="I68" s="54" t="n">
        <f aca="false">H68-G68</f>
        <v>509</v>
      </c>
    </row>
    <row r="69" customFormat="false" ht="12.75" hidden="false" customHeight="true" outlineLevel="0" collapsed="false">
      <c r="A69" s="44" t="s">
        <v>18</v>
      </c>
      <c r="B69" s="45"/>
      <c r="C69" s="46" t="n">
        <f aca="false">SUM(C55:C68)+C54+C46+C32+C24</f>
        <v>300978</v>
      </c>
      <c r="D69" s="47" t="n">
        <f aca="false">SUM(D55:D68)+D54+D46+D32+D24</f>
        <v>52242</v>
      </c>
      <c r="E69" s="47" t="n">
        <f aca="false">SUM(E55:E68)+E54+E46+E32+E24</f>
        <v>62023</v>
      </c>
      <c r="F69" s="62" t="n">
        <f aca="false">SUM(F55:F68)+F54+F46+F32+F24</f>
        <v>59900</v>
      </c>
      <c r="G69" s="99" t="n">
        <f aca="false">(SUM(G55:G68))+G24+G32+G46+G54</f>
        <v>475143</v>
      </c>
      <c r="H69" s="99" t="n">
        <f aca="false">(SUM(H55:H68))+H24+H32+H46+H54</f>
        <v>310296</v>
      </c>
      <c r="I69" s="100" t="n">
        <f aca="false">(SUM(I55:I68))+I24+I32+I46+I54</f>
        <v>-164847</v>
      </c>
      <c r="J69" s="64"/>
      <c r="K69" s="70"/>
      <c r="L69" s="65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  <c r="HU69" s="64"/>
      <c r="HV69" s="64"/>
      <c r="HW69" s="64"/>
      <c r="HX69" s="64"/>
      <c r="HY69" s="64"/>
      <c r="HZ69" s="64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64"/>
      <c r="IQ69" s="64"/>
      <c r="IR69" s="64"/>
      <c r="IS69" s="64"/>
      <c r="IT69" s="64"/>
      <c r="IU69" s="64"/>
      <c r="IV69" s="64"/>
      <c r="IW69" s="64"/>
    </row>
    <row r="70" customFormat="false" ht="5.25" hidden="false" customHeight="true" outlineLevel="0" collapsed="false">
      <c r="A70" s="66"/>
      <c r="B70" s="19"/>
      <c r="C70" s="35"/>
      <c r="D70" s="2"/>
      <c r="E70" s="67"/>
      <c r="F70" s="55"/>
      <c r="G70" s="101"/>
      <c r="H70" s="102"/>
      <c r="I70" s="103"/>
    </row>
    <row r="71" customFormat="false" ht="12.75" hidden="false" customHeight="true" outlineLevel="0" collapsed="false">
      <c r="A71" s="66" t="s">
        <v>19</v>
      </c>
      <c r="B71" s="19"/>
      <c r="C71" s="39" t="n">
        <v>2119</v>
      </c>
      <c r="D71" s="55" t="n">
        <v>2418</v>
      </c>
      <c r="E71" s="2" t="n">
        <v>2232</v>
      </c>
      <c r="F71" s="40" t="n">
        <v>2374.245</v>
      </c>
      <c r="G71" s="39" t="n">
        <f aca="false">SUM(C71:F71)</f>
        <v>9143.245</v>
      </c>
      <c r="H71" s="40" t="n">
        <v>10008</v>
      </c>
      <c r="I71" s="54" t="n">
        <f aca="false">H71-G71</f>
        <v>864.755000000001</v>
      </c>
    </row>
    <row r="72" customFormat="false" ht="12.75" hidden="false" customHeight="true" outlineLevel="0" collapsed="false">
      <c r="A72" s="66" t="s">
        <v>20</v>
      </c>
      <c r="B72" s="19"/>
      <c r="C72" s="39" t="n">
        <v>767</v>
      </c>
      <c r="D72" s="55" t="n">
        <v>489</v>
      </c>
      <c r="E72" s="2" t="n">
        <v>521</v>
      </c>
      <c r="F72" s="40" t="n">
        <v>455.505</v>
      </c>
      <c r="G72" s="39" t="n">
        <f aca="false">SUM(C72:F72)</f>
        <v>2232.505</v>
      </c>
      <c r="H72" s="40" t="n">
        <v>1909</v>
      </c>
      <c r="I72" s="54" t="n">
        <f aca="false">H72-G72</f>
        <v>-323.505</v>
      </c>
    </row>
    <row r="73" customFormat="false" ht="12.75" hidden="false" customHeight="true" outlineLevel="0" collapsed="false">
      <c r="A73" s="66" t="s">
        <v>21</v>
      </c>
      <c r="B73" s="19"/>
      <c r="C73" s="39" t="n">
        <v>1717</v>
      </c>
      <c r="D73" s="55" t="n">
        <v>545</v>
      </c>
      <c r="E73" s="2" t="n">
        <v>1117</v>
      </c>
      <c r="F73" s="40" t="n">
        <v>1418.878</v>
      </c>
      <c r="G73" s="39" t="n">
        <f aca="false">SUM(C73:F73)</f>
        <v>4797.878</v>
      </c>
      <c r="H73" s="40" t="n">
        <v>5667</v>
      </c>
      <c r="I73" s="54" t="n">
        <f aca="false">H73-G73</f>
        <v>869.122</v>
      </c>
    </row>
    <row r="74" customFormat="false" ht="12.75" hidden="false" customHeight="true" outlineLevel="0" collapsed="false">
      <c r="A74" s="66" t="s">
        <v>22</v>
      </c>
      <c r="B74" s="19"/>
      <c r="C74" s="39" t="n">
        <v>10540</v>
      </c>
      <c r="D74" s="55" t="n">
        <v>9102</v>
      </c>
      <c r="E74" s="2" t="n">
        <v>10346</v>
      </c>
      <c r="F74" s="40" t="n">
        <v>11344</v>
      </c>
      <c r="G74" s="39" t="n">
        <f aca="false">SUM(C74:F74)</f>
        <v>41332</v>
      </c>
      <c r="H74" s="40" t="n">
        <v>40474</v>
      </c>
      <c r="I74" s="54" t="n">
        <f aca="false">H74-G74</f>
        <v>-858</v>
      </c>
    </row>
    <row r="75" customFormat="false" ht="12.75" hidden="false" customHeight="true" outlineLevel="0" collapsed="false">
      <c r="A75" s="66" t="s">
        <v>23</v>
      </c>
      <c r="B75" s="19"/>
      <c r="C75" s="39" t="n">
        <v>936</v>
      </c>
      <c r="D75" s="55" t="n">
        <v>1180</v>
      </c>
      <c r="E75" s="2" t="n">
        <v>2035</v>
      </c>
      <c r="F75" s="40" t="n">
        <v>1144.072</v>
      </c>
      <c r="G75" s="39" t="n">
        <f aca="false">SUM(C75:F75)</f>
        <v>5295.072</v>
      </c>
      <c r="H75" s="40" t="n">
        <v>4696</v>
      </c>
      <c r="I75" s="54" t="n">
        <f aca="false">H75-G75</f>
        <v>-599.072</v>
      </c>
    </row>
    <row r="76" customFormat="false" ht="12.75" hidden="false" customHeight="true" outlineLevel="0" collapsed="false">
      <c r="A76" s="66" t="s">
        <v>24</v>
      </c>
      <c r="B76" s="19"/>
      <c r="C76" s="39" t="n">
        <v>2483</v>
      </c>
      <c r="D76" s="55" t="n">
        <v>3634</v>
      </c>
      <c r="E76" s="2" t="n">
        <v>4034</v>
      </c>
      <c r="F76" s="40" t="n">
        <v>3385.464</v>
      </c>
      <c r="G76" s="39" t="n">
        <f aca="false">SUM(C76:F76)</f>
        <v>13536.464</v>
      </c>
      <c r="H76" s="40" t="n">
        <v>9967</v>
      </c>
      <c r="I76" s="54" t="n">
        <f aca="false">H76-G76</f>
        <v>-3569.464</v>
      </c>
    </row>
    <row r="77" customFormat="false" ht="12.75" hidden="false" customHeight="true" outlineLevel="0" collapsed="false">
      <c r="A77" s="66" t="s">
        <v>25</v>
      </c>
      <c r="B77" s="19"/>
      <c r="C77" s="39" t="n">
        <v>10</v>
      </c>
      <c r="D77" s="55" t="n">
        <v>318</v>
      </c>
      <c r="E77" s="2" t="n">
        <v>571</v>
      </c>
      <c r="F77" s="40" t="n">
        <v>618.009</v>
      </c>
      <c r="G77" s="39" t="n">
        <f aca="false">SUM(C77:F77)</f>
        <v>1517.009</v>
      </c>
      <c r="H77" s="40" t="n">
        <v>1572</v>
      </c>
      <c r="I77" s="54" t="n">
        <f aca="false">H77-G77</f>
        <v>54.991</v>
      </c>
    </row>
    <row r="78" customFormat="false" ht="12.75" hidden="false" customHeight="true" outlineLevel="0" collapsed="false">
      <c r="A78" s="66" t="s">
        <v>26</v>
      </c>
      <c r="B78" s="19"/>
      <c r="C78" s="39" t="n">
        <v>357</v>
      </c>
      <c r="D78" s="55" t="n">
        <v>700</v>
      </c>
      <c r="E78" s="2" t="n">
        <v>511</v>
      </c>
      <c r="F78" s="40" t="n">
        <v>400.589</v>
      </c>
      <c r="G78" s="39" t="n">
        <f aca="false">SUM(C78:F78)</f>
        <v>1968.589</v>
      </c>
      <c r="H78" s="59" t="n">
        <v>1986</v>
      </c>
      <c r="I78" s="54" t="n">
        <f aca="false">H78-G78</f>
        <v>17.4110000000001</v>
      </c>
    </row>
    <row r="79" customFormat="false" ht="12.75" hidden="false" customHeight="true" outlineLevel="0" collapsed="false">
      <c r="A79" s="66" t="s">
        <v>27</v>
      </c>
      <c r="B79" s="19"/>
      <c r="C79" s="39" t="n">
        <v>200</v>
      </c>
      <c r="D79" s="55" t="n">
        <v>815</v>
      </c>
      <c r="E79" s="2" t="n">
        <v>395</v>
      </c>
      <c r="F79" s="40" t="n">
        <v>544.731</v>
      </c>
      <c r="G79" s="39" t="n">
        <f aca="false">SUM(C79:F79)</f>
        <v>1954.731</v>
      </c>
      <c r="H79" s="40" t="n">
        <v>2200</v>
      </c>
      <c r="I79" s="54" t="n">
        <f aca="false">H79-G79</f>
        <v>245.269</v>
      </c>
    </row>
    <row r="80" customFormat="false" ht="12.75" hidden="false" customHeight="true" outlineLevel="0" collapsed="false">
      <c r="A80" s="66" t="s">
        <v>28</v>
      </c>
      <c r="B80" s="19"/>
      <c r="C80" s="39" t="n">
        <v>189</v>
      </c>
      <c r="D80" s="55" t="n">
        <v>282</v>
      </c>
      <c r="E80" s="2" t="n">
        <v>813</v>
      </c>
      <c r="F80" s="40" t="n">
        <v>197.582</v>
      </c>
      <c r="G80" s="39" t="n">
        <f aca="false">SUM(C80:F80)</f>
        <v>1481.582</v>
      </c>
      <c r="H80" s="40" t="n">
        <v>792</v>
      </c>
      <c r="I80" s="54" t="n">
        <f aca="false">H80-G80</f>
        <v>-689.582</v>
      </c>
    </row>
    <row r="81" customFormat="false" ht="12.75" hidden="false" customHeight="true" outlineLevel="0" collapsed="false">
      <c r="A81" s="66" t="s">
        <v>29</v>
      </c>
      <c r="B81" s="19"/>
      <c r="C81" s="39" t="n">
        <v>471</v>
      </c>
      <c r="D81" s="55" t="n">
        <v>446</v>
      </c>
      <c r="E81" s="2" t="n">
        <v>356</v>
      </c>
      <c r="F81" s="40" t="n">
        <v>683.271</v>
      </c>
      <c r="G81" s="39" t="n">
        <f aca="false">SUM(C81:F81)</f>
        <v>1956.271</v>
      </c>
      <c r="H81" s="40" t="n">
        <v>2702</v>
      </c>
      <c r="I81" s="54" t="n">
        <f aca="false">H81-G81</f>
        <v>745.729</v>
      </c>
    </row>
    <row r="82" customFormat="false" ht="12.75" hidden="false" customHeight="true" outlineLevel="0" collapsed="false">
      <c r="A82" s="66" t="s">
        <v>30</v>
      </c>
      <c r="B82" s="19"/>
      <c r="C82" s="39" t="n">
        <v>1119</v>
      </c>
      <c r="D82" s="55" t="n">
        <v>1029</v>
      </c>
      <c r="E82" s="2" t="n">
        <v>1038</v>
      </c>
      <c r="F82" s="40" t="n">
        <v>4169</v>
      </c>
      <c r="G82" s="39" t="n">
        <f aca="false">SUM(C82:F82)</f>
        <v>7355</v>
      </c>
      <c r="H82" s="40" t="n">
        <v>5676</v>
      </c>
      <c r="I82" s="54" t="n">
        <f aca="false">H82-G82</f>
        <v>-1679</v>
      </c>
    </row>
    <row r="83" customFormat="false" ht="12.75" hidden="false" customHeight="true" outlineLevel="0" collapsed="false">
      <c r="A83" s="66" t="s">
        <v>31</v>
      </c>
      <c r="B83" s="19"/>
      <c r="C83" s="39" t="n">
        <v>26414</v>
      </c>
      <c r="D83" s="55" t="n">
        <v>35596</v>
      </c>
      <c r="E83" s="2" t="n">
        <v>34927</v>
      </c>
      <c r="F83" s="40" t="n">
        <v>22613.004</v>
      </c>
      <c r="G83" s="39" t="n">
        <f aca="false">SUM(C83:F83)</f>
        <v>119550.004</v>
      </c>
      <c r="H83" s="40" t="n">
        <v>91376</v>
      </c>
      <c r="I83" s="54" t="n">
        <f aca="false">H83-G83</f>
        <v>-28174.004</v>
      </c>
    </row>
    <row r="84" customFormat="false" ht="12.75" hidden="false" customHeight="true" outlineLevel="0" collapsed="false">
      <c r="A84" s="66" t="s">
        <v>32</v>
      </c>
      <c r="B84" s="19"/>
      <c r="C84" s="39" t="n">
        <v>48754</v>
      </c>
      <c r="D84" s="55" t="n">
        <v>43375</v>
      </c>
      <c r="E84" s="2" t="n">
        <v>47504</v>
      </c>
      <c r="F84" s="40" t="n">
        <v>48547</v>
      </c>
      <c r="G84" s="42" t="n">
        <f aca="false">SUM(C84:F84)</f>
        <v>188180</v>
      </c>
      <c r="H84" s="104" t="n">
        <v>186341</v>
      </c>
      <c r="I84" s="105" t="n">
        <f aca="false">H84-G84</f>
        <v>-1839</v>
      </c>
    </row>
    <row r="85" customFormat="false" ht="12.75" hidden="false" customHeight="true" outlineLevel="0" collapsed="false">
      <c r="A85" s="44" t="s">
        <v>33</v>
      </c>
      <c r="B85" s="45"/>
      <c r="C85" s="46" t="n">
        <f aca="false">SUM(C71:C84)</f>
        <v>96076</v>
      </c>
      <c r="D85" s="47" t="n">
        <f aca="false">SUM(D71:D84)</f>
        <v>99929</v>
      </c>
      <c r="E85" s="47" t="n">
        <f aca="false">SUM(E71:E84)</f>
        <v>106400</v>
      </c>
      <c r="F85" s="48" t="n">
        <f aca="false">SUM(F71:F84)</f>
        <v>97895.35</v>
      </c>
      <c r="G85" s="106" t="n">
        <f aca="false">SUM(G71:G84)</f>
        <v>400300.35</v>
      </c>
      <c r="H85" s="107" t="n">
        <f aca="false">SUM(H71:H84)</f>
        <v>365366</v>
      </c>
      <c r="I85" s="108" t="n">
        <f aca="false">SUM(I71:I84)</f>
        <v>-34934.35</v>
      </c>
      <c r="J85" s="64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</row>
    <row r="86" customFormat="false" ht="12.75" hidden="false" customHeight="true" outlineLevel="0" collapsed="false">
      <c r="A86" s="69" t="str">
        <f aca="false">'[1]QTD Mgmt Summary'!A83</f>
        <v>Prepay Expenses</v>
      </c>
      <c r="B86" s="19"/>
      <c r="C86" s="39" t="n">
        <v>14566</v>
      </c>
      <c r="D86" s="55" t="n">
        <v>14204</v>
      </c>
      <c r="E86" s="2" t="n">
        <v>28202</v>
      </c>
      <c r="F86" s="40" t="n">
        <v>38127</v>
      </c>
      <c r="G86" s="39" t="n">
        <f aca="false">SUM(C86:F86)</f>
        <v>95099</v>
      </c>
      <c r="H86" s="55" t="n">
        <v>149780</v>
      </c>
      <c r="I86" s="54" t="n">
        <f aca="false">H86-G86</f>
        <v>54681</v>
      </c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  <c r="IW86" s="70"/>
    </row>
    <row r="87" customFormat="false" ht="12.75" hidden="false" customHeight="true" outlineLevel="0" collapsed="false">
      <c r="A87" s="69" t="str">
        <f aca="false">'[1]QTD Mgmt Summary'!A84</f>
        <v>U.S. Drift</v>
      </c>
      <c r="B87" s="19"/>
      <c r="C87" s="35" t="n">
        <v>1742</v>
      </c>
      <c r="D87" s="55" t="n">
        <v>570</v>
      </c>
      <c r="E87" s="2" t="n">
        <v>600</v>
      </c>
      <c r="F87" s="40" t="n">
        <v>600</v>
      </c>
      <c r="G87" s="39" t="n">
        <f aca="false">SUM(C87:F87)</f>
        <v>3512</v>
      </c>
      <c r="H87" s="55" t="n">
        <v>4693</v>
      </c>
      <c r="I87" s="54" t="n">
        <f aca="false">H87-G87</f>
        <v>1181</v>
      </c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  <c r="IV87" s="70"/>
      <c r="IW87" s="70"/>
    </row>
    <row r="88" customFormat="false" ht="12.75" hidden="false" customHeight="true" outlineLevel="0" collapsed="false">
      <c r="A88" s="69" t="str">
        <f aca="false">'[1]QTD Mgmt Summary'!A85</f>
        <v>Facility Costs</v>
      </c>
      <c r="B88" s="19"/>
      <c r="C88" s="39" t="n">
        <v>0</v>
      </c>
      <c r="D88" s="55" t="n">
        <v>14</v>
      </c>
      <c r="E88" s="2" t="n">
        <v>19</v>
      </c>
      <c r="F88" s="40" t="n">
        <v>0</v>
      </c>
      <c r="G88" s="39" t="n">
        <f aca="false">SUM(C88:F88)</f>
        <v>33</v>
      </c>
      <c r="H88" s="55" t="n">
        <v>0</v>
      </c>
      <c r="I88" s="54" t="n">
        <f aca="false">H88-G88</f>
        <v>-33</v>
      </c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  <c r="IV88" s="70"/>
      <c r="IW88" s="70"/>
    </row>
    <row r="89" customFormat="false" ht="12.75" hidden="false" customHeight="true" outlineLevel="0" collapsed="false">
      <c r="A89" s="69" t="str">
        <f aca="false">'[1]QTD Mgmt Summary'!A86</f>
        <v>Capital Charge Offset</v>
      </c>
      <c r="B89" s="19"/>
      <c r="C89" s="39"/>
      <c r="D89" s="55" t="n">
        <v>0</v>
      </c>
      <c r="E89" s="2" t="n">
        <v>0</v>
      </c>
      <c r="F89" s="40" t="n">
        <v>0</v>
      </c>
      <c r="G89" s="53" t="n">
        <f aca="false">SUM(C89:F89)</f>
        <v>0</v>
      </c>
      <c r="H89" s="40" t="n">
        <v>0</v>
      </c>
      <c r="I89" s="54" t="n">
        <f aca="false">H89-G89</f>
        <v>0</v>
      </c>
    </row>
    <row r="90" customFormat="false" ht="12.75" hidden="false" customHeight="true" outlineLevel="0" collapsed="false">
      <c r="A90" s="44" t="s">
        <v>49</v>
      </c>
      <c r="B90" s="109"/>
      <c r="C90" s="46" t="n">
        <f aca="false">C69+C85+C86+C87+C88+C89</f>
        <v>413362</v>
      </c>
      <c r="D90" s="47" t="n">
        <f aca="false">D69+D85+D86+D87+D88+D89</f>
        <v>166959</v>
      </c>
      <c r="E90" s="47" t="n">
        <f aca="false">E69+E85+E86+E87+E88+E89</f>
        <v>197244</v>
      </c>
      <c r="F90" s="62" t="n">
        <f aca="false">F69+F85+F86+F87+F88+F89</f>
        <v>196522.35</v>
      </c>
      <c r="G90" s="47" t="n">
        <f aca="false">G69+G85+G86+G87+G88+G89</f>
        <v>974087.35</v>
      </c>
      <c r="H90" s="47" t="n">
        <f aca="false">SUM(H86:H89)+H85+H69</f>
        <v>830135</v>
      </c>
      <c r="I90" s="62" t="n">
        <f aca="false">G90-H90</f>
        <v>143952.35</v>
      </c>
      <c r="J90" s="64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  <c r="HU90" s="64"/>
      <c r="HV90" s="64"/>
      <c r="HW90" s="64"/>
      <c r="HX90" s="64"/>
      <c r="HY90" s="64"/>
      <c r="HZ90" s="64"/>
      <c r="IA90" s="64"/>
      <c r="IB90" s="64"/>
      <c r="IC90" s="64"/>
      <c r="ID90" s="64"/>
      <c r="IE90" s="64"/>
      <c r="IF90" s="64"/>
      <c r="IG90" s="64"/>
      <c r="IH90" s="64"/>
      <c r="II90" s="64"/>
      <c r="IJ90" s="64"/>
      <c r="IK90" s="64"/>
      <c r="IL90" s="64"/>
      <c r="IM90" s="64"/>
      <c r="IN90" s="64"/>
      <c r="IO90" s="64"/>
      <c r="IP90" s="64"/>
      <c r="IQ90" s="64"/>
      <c r="IR90" s="64"/>
      <c r="IS90" s="64"/>
      <c r="IT90" s="64"/>
      <c r="IU90" s="64"/>
      <c r="IV90" s="64"/>
      <c r="IW90" s="64"/>
    </row>
    <row r="91" customFormat="false" ht="12.75" hidden="false" customHeight="true" outlineLevel="0" collapsed="false">
      <c r="A91" s="110"/>
      <c r="B91" s="111"/>
      <c r="C91" s="112"/>
      <c r="D91" s="113"/>
      <c r="E91" s="113"/>
      <c r="F91" s="114"/>
      <c r="G91" s="113"/>
      <c r="H91" s="113"/>
      <c r="I91" s="114"/>
      <c r="J91" s="64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  <c r="EQ91" s="64"/>
      <c r="ER91" s="64"/>
      <c r="ES91" s="64"/>
      <c r="ET91" s="64"/>
      <c r="EU91" s="64"/>
      <c r="EV91" s="64"/>
      <c r="EW91" s="64"/>
      <c r="EX91" s="64"/>
      <c r="EY91" s="64"/>
      <c r="EZ91" s="64"/>
      <c r="FA91" s="64"/>
      <c r="FB91" s="64"/>
      <c r="FC91" s="64"/>
      <c r="FD91" s="64"/>
      <c r="FE91" s="64"/>
      <c r="FF91" s="64"/>
      <c r="FG91" s="64"/>
      <c r="FH91" s="64"/>
      <c r="FI91" s="64"/>
      <c r="FJ91" s="64"/>
      <c r="FK91" s="64"/>
      <c r="FL91" s="64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  <c r="GE91" s="64"/>
      <c r="GF91" s="64"/>
      <c r="GG91" s="64"/>
      <c r="GH91" s="64"/>
      <c r="GI91" s="64"/>
      <c r="GJ91" s="64"/>
      <c r="GK91" s="64"/>
      <c r="GL91" s="64"/>
      <c r="GM91" s="64"/>
      <c r="GN91" s="64"/>
      <c r="GO91" s="64"/>
      <c r="GP91" s="64"/>
      <c r="GQ91" s="64"/>
      <c r="GR91" s="64"/>
      <c r="GS91" s="64"/>
      <c r="GT91" s="64"/>
      <c r="GU91" s="64"/>
      <c r="GV91" s="64"/>
      <c r="GW91" s="64"/>
      <c r="GX91" s="64"/>
      <c r="GY91" s="64"/>
      <c r="GZ91" s="64"/>
      <c r="HA91" s="64"/>
      <c r="HB91" s="64"/>
      <c r="HC91" s="64"/>
      <c r="HD91" s="64"/>
      <c r="HE91" s="64"/>
      <c r="HF91" s="64"/>
      <c r="HG91" s="64"/>
      <c r="HH91" s="64"/>
      <c r="HI91" s="64"/>
      <c r="HJ91" s="64"/>
      <c r="HK91" s="64"/>
      <c r="HL91" s="64"/>
      <c r="HM91" s="64"/>
      <c r="HN91" s="64"/>
      <c r="HO91" s="64"/>
      <c r="HP91" s="64"/>
      <c r="HQ91" s="64"/>
      <c r="HR91" s="64"/>
      <c r="HS91" s="64"/>
      <c r="HT91" s="64"/>
      <c r="HU91" s="64"/>
      <c r="HV91" s="64"/>
      <c r="HW91" s="64"/>
      <c r="HX91" s="64"/>
      <c r="HY91" s="64"/>
      <c r="HZ91" s="64"/>
      <c r="IA91" s="64"/>
      <c r="IB91" s="64"/>
      <c r="IC91" s="64"/>
      <c r="ID91" s="64"/>
      <c r="IE91" s="64"/>
      <c r="IF91" s="64"/>
      <c r="IG91" s="64"/>
      <c r="IH91" s="64"/>
      <c r="II91" s="64"/>
      <c r="IJ91" s="64"/>
      <c r="IK91" s="64"/>
      <c r="IL91" s="64"/>
      <c r="IM91" s="64"/>
      <c r="IN91" s="64"/>
      <c r="IO91" s="64"/>
      <c r="IP91" s="64"/>
      <c r="IQ91" s="64"/>
      <c r="IR91" s="64"/>
      <c r="IS91" s="64"/>
      <c r="IT91" s="64"/>
      <c r="IU91" s="64"/>
      <c r="IV91" s="64"/>
      <c r="IW91" s="64"/>
    </row>
    <row r="92" customFormat="false" ht="12.75" hidden="false" customHeight="true" outlineLevel="0" collapsed="false">
      <c r="A92" s="44" t="s">
        <v>50</v>
      </c>
      <c r="B92" s="109"/>
      <c r="C92" s="46" t="n">
        <v>18167</v>
      </c>
      <c r="D92" s="47" t="n">
        <v>8068</v>
      </c>
      <c r="E92" s="47" t="n">
        <v>0</v>
      </c>
      <c r="F92" s="62" t="n">
        <v>0</v>
      </c>
      <c r="G92" s="47" t="n">
        <f aca="false">SUM(C92:F92)</f>
        <v>26235</v>
      </c>
      <c r="H92" s="47" t="n">
        <v>17518</v>
      </c>
      <c r="I92" s="62" t="n">
        <f aca="false">G92-H92</f>
        <v>8717</v>
      </c>
      <c r="J92" s="64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  <c r="HH92" s="64"/>
      <c r="HI92" s="64"/>
      <c r="HJ92" s="64"/>
      <c r="HK92" s="64"/>
      <c r="HL92" s="64"/>
      <c r="HM92" s="64"/>
      <c r="HN92" s="64"/>
      <c r="HO92" s="64"/>
      <c r="HP92" s="64"/>
      <c r="HQ92" s="64"/>
      <c r="HR92" s="64"/>
      <c r="HS92" s="64"/>
      <c r="HT92" s="64"/>
      <c r="HU92" s="64"/>
      <c r="HV92" s="64"/>
      <c r="HW92" s="64"/>
      <c r="HX92" s="64"/>
      <c r="HY92" s="64"/>
      <c r="HZ92" s="64"/>
      <c r="IA92" s="64"/>
      <c r="IB92" s="64"/>
      <c r="IC92" s="64"/>
      <c r="ID92" s="64"/>
      <c r="IE92" s="64"/>
      <c r="IF92" s="64"/>
      <c r="IG92" s="64"/>
      <c r="IH92" s="64"/>
      <c r="II92" s="64"/>
      <c r="IJ92" s="64"/>
      <c r="IK92" s="64"/>
      <c r="IL92" s="64"/>
      <c r="IM92" s="64"/>
      <c r="IN92" s="64"/>
      <c r="IO92" s="64"/>
      <c r="IP92" s="64"/>
      <c r="IQ92" s="64"/>
      <c r="IR92" s="64"/>
      <c r="IS92" s="64"/>
      <c r="IT92" s="64"/>
      <c r="IU92" s="64"/>
      <c r="IV92" s="64"/>
      <c r="IW92" s="64"/>
    </row>
    <row r="93" customFormat="false" ht="12.75" hidden="false" customHeight="true" outlineLevel="0" collapsed="false">
      <c r="A93" s="110"/>
      <c r="B93" s="111"/>
      <c r="C93" s="112"/>
      <c r="D93" s="113"/>
      <c r="E93" s="113"/>
      <c r="F93" s="114"/>
      <c r="G93" s="113"/>
      <c r="H93" s="113"/>
      <c r="I93" s="114"/>
      <c r="J93" s="64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  <c r="FK93" s="64"/>
      <c r="FL93" s="64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  <c r="GE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64"/>
      <c r="GT93" s="64"/>
      <c r="GU93" s="64"/>
      <c r="GV93" s="64"/>
      <c r="GW93" s="64"/>
      <c r="GX93" s="64"/>
      <c r="GY93" s="64"/>
      <c r="GZ93" s="64"/>
      <c r="HA93" s="64"/>
      <c r="HB93" s="64"/>
      <c r="HC93" s="64"/>
      <c r="HD93" s="64"/>
      <c r="HE93" s="64"/>
      <c r="HF93" s="64"/>
      <c r="HG93" s="64"/>
      <c r="HH93" s="64"/>
      <c r="HI93" s="64"/>
      <c r="HJ93" s="64"/>
      <c r="HK93" s="64"/>
      <c r="HL93" s="64"/>
      <c r="HM93" s="64"/>
      <c r="HN93" s="64"/>
      <c r="HO93" s="64"/>
      <c r="HP93" s="64"/>
      <c r="HQ93" s="64"/>
      <c r="HR93" s="64"/>
      <c r="HS93" s="64"/>
      <c r="HT93" s="64"/>
      <c r="HU93" s="64"/>
      <c r="HV93" s="64"/>
      <c r="HW93" s="64"/>
      <c r="HX93" s="64"/>
      <c r="HY93" s="64"/>
      <c r="HZ93" s="64"/>
      <c r="IA93" s="64"/>
      <c r="IB93" s="64"/>
      <c r="IC93" s="64"/>
      <c r="ID93" s="64"/>
      <c r="IE93" s="64"/>
      <c r="IF93" s="64"/>
      <c r="IG93" s="64"/>
      <c r="IH93" s="64"/>
      <c r="II93" s="64"/>
      <c r="IJ93" s="64"/>
      <c r="IK93" s="64"/>
      <c r="IL93" s="64"/>
      <c r="IM93" s="64"/>
      <c r="IN93" s="64"/>
      <c r="IO93" s="64"/>
      <c r="IP93" s="64"/>
      <c r="IQ93" s="64"/>
      <c r="IR93" s="64"/>
      <c r="IS93" s="64"/>
      <c r="IT93" s="64"/>
      <c r="IU93" s="64"/>
      <c r="IV93" s="64"/>
      <c r="IW93" s="64"/>
    </row>
    <row r="94" customFormat="false" ht="12.75" hidden="false" customHeight="true" outlineLevel="0" collapsed="false">
      <c r="A94" s="44" t="s">
        <v>51</v>
      </c>
      <c r="B94" s="115"/>
      <c r="C94" s="46" t="n">
        <f aca="false">C90+C92</f>
        <v>431529</v>
      </c>
      <c r="D94" s="47" t="n">
        <f aca="false">D90+D92</f>
        <v>175027</v>
      </c>
      <c r="E94" s="47" t="n">
        <f aca="false">E90+E92</f>
        <v>197244</v>
      </c>
      <c r="F94" s="62" t="n">
        <f aca="false">F90+F92</f>
        <v>196522.35</v>
      </c>
      <c r="G94" s="46" t="n">
        <f aca="false">G90+G92</f>
        <v>1000322.35</v>
      </c>
      <c r="H94" s="47" t="n">
        <f aca="false">H90+H92</f>
        <v>847653</v>
      </c>
      <c r="I94" s="62" t="n">
        <f aca="false">I90+I92</f>
        <v>152669.35</v>
      </c>
      <c r="J94" s="64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  <c r="HH94" s="64"/>
      <c r="HI94" s="64"/>
      <c r="HJ94" s="64"/>
      <c r="HK94" s="64"/>
      <c r="HL94" s="64"/>
      <c r="HM94" s="64"/>
      <c r="HN94" s="64"/>
      <c r="HO94" s="64"/>
      <c r="HP94" s="64"/>
      <c r="HQ94" s="64"/>
      <c r="HR94" s="64"/>
      <c r="HS94" s="64"/>
      <c r="HT94" s="64"/>
      <c r="HU94" s="64"/>
      <c r="HV94" s="64"/>
      <c r="HW94" s="64"/>
      <c r="HX94" s="64"/>
      <c r="HY94" s="64"/>
      <c r="HZ94" s="64"/>
      <c r="IA94" s="64"/>
      <c r="IB94" s="64"/>
      <c r="IC94" s="64"/>
      <c r="ID94" s="64"/>
      <c r="IE94" s="64"/>
      <c r="IF94" s="64"/>
      <c r="IG94" s="64"/>
      <c r="IH94" s="64"/>
      <c r="II94" s="64"/>
      <c r="IJ94" s="64"/>
      <c r="IK94" s="64"/>
      <c r="IL94" s="64"/>
      <c r="IM94" s="64"/>
      <c r="IN94" s="64"/>
      <c r="IO94" s="64"/>
      <c r="IP94" s="64"/>
      <c r="IQ94" s="64"/>
      <c r="IR94" s="64"/>
      <c r="IS94" s="64"/>
      <c r="IT94" s="64"/>
      <c r="IU94" s="64"/>
      <c r="IV94" s="64"/>
      <c r="IW94" s="64"/>
    </row>
    <row r="95" customFormat="false" ht="12.75" hidden="true" customHeight="true" outlineLevel="0" collapsed="false">
      <c r="A95" s="116"/>
      <c r="B95" s="117"/>
      <c r="C95" s="118"/>
      <c r="D95" s="119"/>
      <c r="E95" s="119"/>
      <c r="F95" s="120"/>
      <c r="G95" s="119"/>
      <c r="H95" s="119"/>
      <c r="I95" s="120"/>
      <c r="J95" s="64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  <c r="HH95" s="64"/>
      <c r="HI95" s="64"/>
      <c r="HJ95" s="64"/>
      <c r="HK95" s="64"/>
      <c r="HL95" s="64"/>
      <c r="HM95" s="64"/>
      <c r="HN95" s="64"/>
      <c r="HO95" s="64"/>
      <c r="HP95" s="64"/>
      <c r="HQ95" s="64"/>
      <c r="HR95" s="64"/>
      <c r="HS95" s="64"/>
      <c r="HT95" s="64"/>
      <c r="HU95" s="64"/>
      <c r="HV95" s="64"/>
      <c r="HW95" s="64"/>
      <c r="HX95" s="64"/>
      <c r="HY95" s="64"/>
      <c r="HZ95" s="64"/>
      <c r="IA95" s="64"/>
      <c r="IB95" s="64"/>
      <c r="IC95" s="64"/>
      <c r="ID95" s="64"/>
      <c r="IE95" s="64"/>
      <c r="IF95" s="64"/>
      <c r="IG95" s="64"/>
      <c r="IH95" s="64"/>
      <c r="II95" s="64"/>
      <c r="IJ95" s="64"/>
      <c r="IK95" s="64"/>
      <c r="IL95" s="64"/>
      <c r="IM95" s="64"/>
      <c r="IN95" s="64"/>
      <c r="IO95" s="64"/>
      <c r="IP95" s="64"/>
      <c r="IQ95" s="64"/>
      <c r="IR95" s="64"/>
      <c r="IS95" s="64"/>
      <c r="IT95" s="64"/>
      <c r="IU95" s="64"/>
      <c r="IV95" s="64"/>
      <c r="IW95" s="64"/>
    </row>
    <row r="96" customFormat="false" ht="5.25" hidden="true" customHeight="true" outlineLevel="0" collapsed="false">
      <c r="A96" s="72"/>
      <c r="B96" s="73"/>
      <c r="C96" s="74"/>
      <c r="D96" s="75"/>
      <c r="E96" s="76"/>
      <c r="F96" s="77"/>
      <c r="G96" s="121"/>
      <c r="H96" s="121"/>
      <c r="I96" s="77"/>
    </row>
    <row r="97" customFormat="false" ht="13.5" hidden="true" customHeight="false" outlineLevel="0" collapsed="false">
      <c r="A97" s="66" t="s">
        <v>37</v>
      </c>
      <c r="B97" s="73"/>
      <c r="C97" s="35" t="n">
        <v>52888</v>
      </c>
      <c r="D97" s="2" t="n">
        <v>6671</v>
      </c>
      <c r="E97" s="2" t="n">
        <v>28772</v>
      </c>
      <c r="F97" s="37" t="n">
        <v>25828</v>
      </c>
      <c r="G97" s="83" t="n">
        <f aca="false">SUM(C97:F97)</f>
        <v>114159</v>
      </c>
      <c r="H97" s="55" t="n">
        <v>108384</v>
      </c>
      <c r="I97" s="54" t="n">
        <f aca="false">H97-G97</f>
        <v>-5775</v>
      </c>
      <c r="J97" s="3"/>
    </row>
    <row r="98" customFormat="false" ht="14.25" hidden="true" customHeight="false" outlineLevel="0" collapsed="false">
      <c r="A98" s="44" t="s">
        <v>38</v>
      </c>
      <c r="B98" s="73"/>
      <c r="C98" s="84" t="n">
        <f aca="false">C90+C97</f>
        <v>466250</v>
      </c>
      <c r="D98" s="85" t="n">
        <f aca="false">D90+D97</f>
        <v>173630</v>
      </c>
      <c r="E98" s="85" t="n">
        <f aca="false">E90+E97</f>
        <v>226016</v>
      </c>
      <c r="F98" s="86" t="n">
        <f aca="false">F90+F97</f>
        <v>222350.35</v>
      </c>
      <c r="G98" s="122" t="n">
        <f aca="false">G90+G97</f>
        <v>1088246.35</v>
      </c>
      <c r="H98" s="122" t="n">
        <f aca="false">H90+H97</f>
        <v>938519</v>
      </c>
      <c r="I98" s="89" t="n">
        <f aca="false">I90+I97</f>
        <v>138177.35</v>
      </c>
      <c r="J98" s="3"/>
    </row>
    <row r="102" customFormat="false" ht="12.75" hidden="false" customHeight="false" outlineLevel="0" collapsed="false">
      <c r="A102" s="1" t="s">
        <v>39</v>
      </c>
    </row>
  </sheetData>
  <mergeCells count="7">
    <mergeCell ref="A2:I2"/>
    <mergeCell ref="A3:I3"/>
    <mergeCell ref="A4:I4"/>
    <mergeCell ref="A5:I5"/>
    <mergeCell ref="A7:A8"/>
    <mergeCell ref="C7:F8"/>
    <mergeCell ref="G7:I8"/>
  </mergeCells>
  <printOptions headings="false" gridLines="false" gridLinesSet="true" horizontalCentered="true" verticalCentered="false"/>
  <pageMargins left="0.25" right="0.25" top="0.2" bottom="0.179861111111111" header="0.511811023622047" footer="0.179861111111111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BM10" activePane="bottomLeft" state="frozen"/>
      <selection pane="topLeft" activeCell="A1" activeCellId="0" sqref="A1"/>
      <selection pane="bottomLeft" activeCell="A6" activeCellId="0" sqref="A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3" min="3" style="2" width="8.7"/>
    <col collapsed="false" customWidth="true" hidden="false" outlineLevel="0" max="4" min="4" style="1" width="8.7"/>
    <col collapsed="false" customWidth="true" hidden="false" outlineLevel="0" max="5" min="5" style="1" width="8.56"/>
    <col collapsed="false" customWidth="true" hidden="false" outlineLevel="0" max="6" min="6" style="3" width="9.28"/>
    <col collapsed="false" customWidth="true" hidden="false" outlineLevel="0" max="8" min="7" style="3" width="8.7"/>
    <col collapsed="false" customWidth="true" hidden="false" outlineLevel="0" max="9" min="9" style="3" width="8.85"/>
    <col collapsed="false" customWidth="true" hidden="false" outlineLevel="0" max="10" min="10" style="1" width="0.85"/>
    <col collapsed="false" customWidth="true" hidden="false" outlineLevel="0" max="11" min="11" style="1" width="8.7"/>
    <col collapsed="false" customWidth="true" hidden="false" outlineLevel="0" max="15" min="12" style="1" width="7.7"/>
    <col collapsed="false" customWidth="true" hidden="false" outlineLevel="0" max="17" min="16" style="1" width="8.7"/>
    <col collapsed="false" customWidth="true" hidden="false" outlineLevel="0" max="18" min="18" style="1" width="0.85"/>
    <col collapsed="false" customWidth="false" hidden="false" outlineLevel="0" max="257" min="19" style="1" width="9.14"/>
  </cols>
  <sheetData>
    <row r="1" customFormat="false" ht="9.95" hidden="false" customHeight="true" outlineLevel="0" collapsed="false">
      <c r="A1" s="0"/>
      <c r="B1" s="0"/>
      <c r="C1" s="4"/>
      <c r="D1" s="0"/>
      <c r="E1" s="0"/>
      <c r="F1" s="5"/>
      <c r="G1" s="5"/>
      <c r="H1" s="5"/>
      <c r="I1" s="5"/>
      <c r="J1" s="0"/>
      <c r="K1" s="94"/>
      <c r="L1" s="94"/>
      <c r="M1" s="94"/>
      <c r="N1" s="94"/>
      <c r="O1" s="94"/>
      <c r="P1" s="94"/>
      <c r="Q1" s="94"/>
      <c r="R1" s="9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9.25" hidden="false" customHeight="true" outlineLevel="0" collapsed="false">
      <c r="A2" s="8" t="s">
        <v>0</v>
      </c>
      <c r="B2" s="8"/>
      <c r="C2" s="8"/>
      <c r="D2" s="8"/>
      <c r="E2" s="8"/>
      <c r="F2" s="8"/>
      <c r="G2" s="8"/>
      <c r="H2" s="8"/>
      <c r="I2" s="8"/>
      <c r="J2" s="9"/>
      <c r="K2" s="96"/>
      <c r="L2" s="96"/>
      <c r="M2" s="96"/>
      <c r="N2" s="96"/>
      <c r="O2" s="96"/>
      <c r="P2" s="96"/>
      <c r="Q2" s="10"/>
      <c r="R2" s="97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true" outlineLevel="0" collapsed="false">
      <c r="A3" s="12" t="s">
        <v>52</v>
      </c>
      <c r="B3" s="12"/>
      <c r="C3" s="12"/>
      <c r="D3" s="12"/>
      <c r="E3" s="12"/>
      <c r="F3" s="12"/>
      <c r="G3" s="12"/>
      <c r="H3" s="12"/>
      <c r="I3" s="12"/>
      <c r="J3" s="0"/>
      <c r="K3" s="94"/>
      <c r="L3" s="94"/>
      <c r="M3" s="94"/>
      <c r="N3" s="94"/>
      <c r="O3" s="94"/>
      <c r="P3" s="94"/>
      <c r="Q3" s="7"/>
      <c r="R3" s="9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15.75" hidden="false" customHeight="true" outlineLevel="0" collapsed="false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0"/>
      <c r="K4" s="94"/>
      <c r="L4" s="94"/>
      <c r="M4" s="94"/>
      <c r="N4" s="94"/>
      <c r="O4" s="94"/>
      <c r="P4" s="94"/>
      <c r="Q4" s="7"/>
      <c r="R4" s="9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5.75" hidden="false" customHeight="true" outlineLevel="0" collapsed="false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0"/>
      <c r="K5" s="94"/>
      <c r="L5" s="94"/>
      <c r="M5" s="94"/>
      <c r="N5" s="94"/>
      <c r="O5" s="94"/>
      <c r="P5" s="94"/>
      <c r="Q5" s="7"/>
      <c r="R5" s="9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0"/>
      <c r="B6" s="0"/>
      <c r="C6" s="4"/>
      <c r="D6" s="0"/>
      <c r="E6" s="0"/>
      <c r="F6" s="5"/>
      <c r="G6" s="5"/>
      <c r="H6" s="5"/>
      <c r="I6" s="5"/>
      <c r="J6" s="0"/>
      <c r="K6" s="94"/>
      <c r="L6" s="94"/>
      <c r="M6" s="94"/>
      <c r="N6" s="94"/>
      <c r="O6" s="94"/>
      <c r="P6" s="94"/>
      <c r="Q6" s="94"/>
      <c r="R6" s="98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4" t="s">
        <v>4</v>
      </c>
      <c r="B7" s="15"/>
      <c r="C7" s="16" t="s">
        <v>53</v>
      </c>
      <c r="D7" s="16"/>
      <c r="E7" s="16"/>
      <c r="F7" s="16"/>
      <c r="G7" s="17" t="s">
        <v>6</v>
      </c>
      <c r="H7" s="17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3" hidden="false" customHeight="true" outlineLevel="0" collapsed="false">
      <c r="A8" s="14"/>
      <c r="B8" s="19"/>
      <c r="C8" s="16"/>
      <c r="D8" s="16"/>
      <c r="E8" s="16"/>
      <c r="F8" s="16"/>
      <c r="G8" s="17"/>
      <c r="H8" s="17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46.5" hidden="false" customHeight="true" outlineLevel="0" collapsed="false">
      <c r="A9" s="20"/>
      <c r="B9" s="21"/>
      <c r="C9" s="22" t="s">
        <v>7</v>
      </c>
      <c r="D9" s="23" t="s">
        <v>8</v>
      </c>
      <c r="E9" s="24" t="s">
        <v>9</v>
      </c>
      <c r="F9" s="25" t="s">
        <v>10</v>
      </c>
      <c r="G9" s="26" t="s">
        <v>54</v>
      </c>
      <c r="H9" s="25" t="s">
        <v>12</v>
      </c>
      <c r="I9" s="27" t="s">
        <v>13</v>
      </c>
    </row>
    <row r="10" customFormat="false" ht="12.75" hidden="false" customHeight="true" outlineLevel="0" collapsed="false">
      <c r="A10" s="28" t="str">
        <f aca="false">'[1]QTD Mgmt Summary'!A9</f>
        <v>Northeast Trading (Davis)</v>
      </c>
      <c r="B10" s="29"/>
      <c r="C10" s="30" t="n">
        <v>0</v>
      </c>
      <c r="D10" s="30" t="n">
        <v>0</v>
      </c>
      <c r="E10" s="30" t="n">
        <v>0</v>
      </c>
      <c r="F10" s="30" t="n">
        <v>0</v>
      </c>
      <c r="G10" s="31" t="n">
        <f aca="false">SUM(C10:F10)</f>
        <v>0</v>
      </c>
      <c r="H10" s="41" t="n">
        <v>0</v>
      </c>
      <c r="I10" s="33" t="n">
        <f aca="false">H10-G10</f>
        <v>0</v>
      </c>
      <c r="J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2.75" hidden="false" customHeight="true" outlineLevel="0" collapsed="false">
      <c r="A11" s="28" t="str">
        <f aca="false">'[1]QTD Mgmt Summary'!A10</f>
        <v>Northeast Origination (Llodra)</v>
      </c>
      <c r="B11" s="29"/>
      <c r="C11" s="2" t="n">
        <v>0</v>
      </c>
      <c r="D11" s="2" t="n">
        <v>0</v>
      </c>
      <c r="E11" s="2" t="n">
        <v>0</v>
      </c>
      <c r="F11" s="2" t="n">
        <v>0</v>
      </c>
      <c r="G11" s="35" t="n">
        <f aca="false">SUM(C11:F11)</f>
        <v>0</v>
      </c>
      <c r="H11" s="41" t="n">
        <v>0</v>
      </c>
      <c r="I11" s="37" t="n">
        <f aca="false">H11-G11</f>
        <v>0</v>
      </c>
      <c r="J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12.75" hidden="false" customHeight="true" outlineLevel="0" collapsed="false">
      <c r="A12" s="28" t="str">
        <f aca="false">'[1]QTD Mgmt Summary'!A11</f>
        <v>Midwest Trading (Sturm)</v>
      </c>
      <c r="B12" s="38"/>
      <c r="C12" s="2" t="n">
        <v>0</v>
      </c>
      <c r="D12" s="2" t="n">
        <v>0</v>
      </c>
      <c r="E12" s="2" t="n">
        <v>0</v>
      </c>
      <c r="F12" s="40" t="n">
        <v>0</v>
      </c>
      <c r="G12" s="39" t="n">
        <f aca="false">SUM(C12:F12)</f>
        <v>0</v>
      </c>
      <c r="H12" s="41" t="n">
        <v>0</v>
      </c>
      <c r="I12" s="37" t="n">
        <f aca="false">H12-G12</f>
        <v>0</v>
      </c>
    </row>
    <row r="13" customFormat="false" ht="12.75" hidden="false" customHeight="true" outlineLevel="0" collapsed="false">
      <c r="A13" s="28" t="str">
        <f aca="false">'[1]QTD Mgmt Summary'!A12</f>
        <v>Midwest Origination (Baughman)</v>
      </c>
      <c r="B13" s="38"/>
      <c r="C13" s="2" t="n">
        <v>0</v>
      </c>
      <c r="D13" s="2" t="n">
        <v>0</v>
      </c>
      <c r="E13" s="2" t="n">
        <v>0</v>
      </c>
      <c r="F13" s="40" t="n">
        <v>0</v>
      </c>
      <c r="G13" s="39" t="n">
        <f aca="false">SUM(C13:F13)</f>
        <v>0</v>
      </c>
      <c r="H13" s="41" t="n">
        <v>0</v>
      </c>
      <c r="I13" s="37" t="n">
        <f aca="false">H13-G13</f>
        <v>0</v>
      </c>
    </row>
    <row r="14" customFormat="false" ht="12.75" hidden="false" customHeight="true" outlineLevel="0" collapsed="false">
      <c r="A14" s="28" t="str">
        <f aca="false">'[1]QTD Mgmt Summary'!A13</f>
        <v>Southeast Trading (Carson) </v>
      </c>
      <c r="B14" s="38"/>
      <c r="C14" s="2" t="n">
        <v>0</v>
      </c>
      <c r="D14" s="2" t="n">
        <v>0</v>
      </c>
      <c r="E14" s="2" t="n">
        <v>126.911</v>
      </c>
      <c r="F14" s="40" t="n">
        <v>0</v>
      </c>
      <c r="G14" s="39" t="n">
        <f aca="false">SUM(C14:F14)</f>
        <v>126.911</v>
      </c>
      <c r="H14" s="41" t="n">
        <v>0</v>
      </c>
      <c r="I14" s="37" t="n">
        <f aca="false">H14-G14</f>
        <v>-126.911</v>
      </c>
    </row>
    <row r="15" customFormat="false" ht="12.75" hidden="false" customHeight="true" outlineLevel="0" collapsed="false">
      <c r="A15" s="28" t="str">
        <f aca="false">'[1]QTD Mgmt Summary'!A14</f>
        <v>Southeast Orig (Kroll) </v>
      </c>
      <c r="B15" s="38"/>
      <c r="C15" s="2" t="n">
        <v>11</v>
      </c>
      <c r="D15" s="2" t="n">
        <v>75</v>
      </c>
      <c r="E15" s="2" t="n">
        <v>0</v>
      </c>
      <c r="F15" s="40" t="n">
        <v>0</v>
      </c>
      <c r="G15" s="39" t="n">
        <f aca="false">SUM(C15:F15)</f>
        <v>86</v>
      </c>
      <c r="H15" s="41" t="n">
        <v>0</v>
      </c>
      <c r="I15" s="37" t="n">
        <f aca="false">H15-G15</f>
        <v>-86</v>
      </c>
    </row>
    <row r="16" customFormat="false" ht="12.75" hidden="false" customHeight="true" outlineLevel="0" collapsed="false">
      <c r="A16" s="28" t="str">
        <f aca="false">'[1]QTD Mgmt Summary'!A15</f>
        <v>ERCOT Trading (Curry)</v>
      </c>
      <c r="B16" s="38"/>
      <c r="C16" s="2" t="n">
        <v>0</v>
      </c>
      <c r="D16" s="2" t="n">
        <v>0</v>
      </c>
      <c r="E16" s="2" t="n">
        <v>0</v>
      </c>
      <c r="F16" s="40" t="n">
        <v>0</v>
      </c>
      <c r="G16" s="39" t="n">
        <f aca="false">SUM(C16:F16)</f>
        <v>0</v>
      </c>
      <c r="H16" s="41" t="n">
        <v>0</v>
      </c>
      <c r="I16" s="37" t="n">
        <f aca="false">H16-G16</f>
        <v>0</v>
      </c>
    </row>
    <row r="17" customFormat="false" ht="12.75" hidden="false" customHeight="true" outlineLevel="0" collapsed="false">
      <c r="A17" s="28" t="str">
        <f aca="false">'[1]QTD Mgmt Summary'!A16</f>
        <v>ERCOT Orig (Curry/Smith)</v>
      </c>
      <c r="B17" s="38"/>
      <c r="C17" s="2" t="n">
        <v>0</v>
      </c>
      <c r="D17" s="2" t="n">
        <v>0</v>
      </c>
      <c r="E17" s="2" t="n">
        <v>0</v>
      </c>
      <c r="F17" s="40" t="n">
        <v>0</v>
      </c>
      <c r="G17" s="39" t="n">
        <f aca="false">SUM(C17:F17)</f>
        <v>0</v>
      </c>
      <c r="H17" s="41" t="n">
        <v>0</v>
      </c>
      <c r="I17" s="37" t="n">
        <f aca="false">H17-G17</f>
        <v>0</v>
      </c>
    </row>
    <row r="18" customFormat="false" ht="12.75" hidden="false" customHeight="true" outlineLevel="0" collapsed="false">
      <c r="A18" s="28" t="str">
        <f aca="false">'[1]QTD Mgmt Summary'!A17</f>
        <v>Options (Arora)</v>
      </c>
      <c r="B18" s="38"/>
      <c r="C18" s="2" t="n">
        <v>0</v>
      </c>
      <c r="D18" s="2" t="n">
        <v>0</v>
      </c>
      <c r="E18" s="2" t="n">
        <v>0</v>
      </c>
      <c r="F18" s="40" t="n">
        <v>0</v>
      </c>
      <c r="G18" s="39" t="n">
        <f aca="false">SUM(C18:F18)</f>
        <v>0</v>
      </c>
      <c r="H18" s="41" t="n">
        <v>0</v>
      </c>
      <c r="I18" s="37" t="n">
        <f aca="false">H18-G18</f>
        <v>0</v>
      </c>
    </row>
    <row r="19" customFormat="false" ht="12.75" hidden="false" customHeight="true" outlineLevel="0" collapsed="false">
      <c r="A19" s="28" t="str">
        <f aca="false">'[1]QTD Mgmt Summary'!A18</f>
        <v>Management  Book (Presto)</v>
      </c>
      <c r="B19" s="38"/>
      <c r="C19" s="2" t="n">
        <v>0</v>
      </c>
      <c r="D19" s="2" t="n">
        <v>0</v>
      </c>
      <c r="E19" s="2" t="n">
        <v>0</v>
      </c>
      <c r="F19" s="40" t="n">
        <v>0</v>
      </c>
      <c r="G19" s="39" t="n">
        <f aca="false">SUM(C19:F19)</f>
        <v>0</v>
      </c>
      <c r="H19" s="41" t="n">
        <v>0</v>
      </c>
      <c r="I19" s="37" t="n">
        <f aca="false">H19-G19</f>
        <v>0</v>
      </c>
    </row>
    <row r="20" customFormat="false" ht="12.75" hidden="false" customHeight="true" outlineLevel="0" collapsed="false">
      <c r="A20" s="28" t="str">
        <f aca="false">'[1]QTD Mgmt Summary'!A19</f>
        <v>Services (Will)</v>
      </c>
      <c r="B20" s="38"/>
      <c r="C20" s="2" t="n">
        <v>0</v>
      </c>
      <c r="D20" s="2" t="n">
        <v>0</v>
      </c>
      <c r="E20" s="2" t="n">
        <v>0</v>
      </c>
      <c r="F20" s="40" t="n">
        <v>0</v>
      </c>
      <c r="G20" s="39" t="n">
        <f aca="false">SUM(C20:F20)</f>
        <v>0</v>
      </c>
      <c r="H20" s="41" t="n">
        <v>0</v>
      </c>
      <c r="I20" s="37" t="n">
        <f aca="false">H20-G20</f>
        <v>0</v>
      </c>
    </row>
    <row r="21" customFormat="false" ht="12.75" hidden="false" customHeight="true" outlineLevel="0" collapsed="false">
      <c r="A21" s="28" t="str">
        <f aca="false">'[1]QTD Mgmt Summary'!A20</f>
        <v>Development (Jacoby)</v>
      </c>
      <c r="B21" s="38"/>
      <c r="C21" s="2" t="n">
        <v>0</v>
      </c>
      <c r="D21" s="2" t="n">
        <v>290</v>
      </c>
      <c r="E21" s="2" t="n">
        <v>249.275</v>
      </c>
      <c r="F21" s="40" t="n">
        <v>405</v>
      </c>
      <c r="G21" s="39" t="n">
        <f aca="false">SUM(C21:F21)</f>
        <v>944.275</v>
      </c>
      <c r="H21" s="41" t="n">
        <v>989</v>
      </c>
      <c r="I21" s="37" t="n">
        <f aca="false">H21-G21</f>
        <v>44.725</v>
      </c>
    </row>
    <row r="22" customFormat="false" ht="12.75" hidden="false" customHeight="true" outlineLevel="0" collapsed="false">
      <c r="A22" s="28" t="str">
        <f aca="false">'[1]QTD Mgmt Summary'!A21</f>
        <v>Generation Investments (Duran)</v>
      </c>
      <c r="B22" s="38"/>
      <c r="C22" s="2" t="n">
        <v>19621</v>
      </c>
      <c r="D22" s="2" t="n">
        <v>12169</v>
      </c>
      <c r="E22" s="2" t="n">
        <v>16601</v>
      </c>
      <c r="F22" s="40" t="n">
        <v>16314</v>
      </c>
      <c r="G22" s="39" t="n">
        <f aca="false">SUM(C22:F22)</f>
        <v>64705</v>
      </c>
      <c r="H22" s="41" t="n">
        <v>63784</v>
      </c>
      <c r="I22" s="37" t="n">
        <f aca="false">H22-G22</f>
        <v>-921</v>
      </c>
    </row>
    <row r="23" customFormat="false" ht="12.75" hidden="false" customHeight="true" outlineLevel="0" collapsed="false">
      <c r="A23" s="28" t="str">
        <f aca="false">'[1]QTD Mgmt Summary'!A22</f>
        <v>Structuring/Fundamentals (Meyn/Will)</v>
      </c>
      <c r="B23" s="38"/>
      <c r="C23" s="2" t="n">
        <v>0</v>
      </c>
      <c r="D23" s="2" t="n">
        <v>0</v>
      </c>
      <c r="E23" s="2" t="n">
        <v>0</v>
      </c>
      <c r="F23" s="40" t="n">
        <v>0</v>
      </c>
      <c r="G23" s="42" t="n">
        <f aca="false">SUM(C23:F23)</f>
        <v>0</v>
      </c>
      <c r="H23" s="43" t="n">
        <v>0</v>
      </c>
      <c r="I23" s="37" t="n">
        <f aca="false">H23-G23</f>
        <v>0</v>
      </c>
    </row>
    <row r="24" customFormat="false" ht="12.75" hidden="false" customHeight="true" outlineLevel="0" collapsed="false">
      <c r="A24" s="44" t="s">
        <v>14</v>
      </c>
      <c r="B24" s="45"/>
      <c r="C24" s="46" t="n">
        <f aca="false">SUM(C10:C23)</f>
        <v>19632</v>
      </c>
      <c r="D24" s="47" t="n">
        <f aca="false">SUM(D10:D23)</f>
        <v>12534</v>
      </c>
      <c r="E24" s="47" t="n">
        <f aca="false">SUM(E10:E23)</f>
        <v>16977.186</v>
      </c>
      <c r="F24" s="48" t="n">
        <f aca="false">SUM(F10:F23)</f>
        <v>16719</v>
      </c>
      <c r="G24" s="49" t="n">
        <f aca="false">SUM(G10:G23)</f>
        <v>65862.186</v>
      </c>
      <c r="H24" s="48" t="n">
        <f aca="false">SUM(H10:H23)</f>
        <v>64773</v>
      </c>
      <c r="I24" s="51" t="n">
        <f aca="false">SUM(I10:I23)</f>
        <v>-1089.186</v>
      </c>
      <c r="J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</row>
    <row r="25" customFormat="false" ht="12.75" hidden="false" customHeight="true" outlineLevel="0" collapsed="false">
      <c r="A25" s="28" t="str">
        <f aca="false">'[1]QTD Mgmt Summary'!A24</f>
        <v>Trading (Belden)</v>
      </c>
      <c r="B25" s="19"/>
      <c r="C25" s="35" t="n">
        <v>0</v>
      </c>
      <c r="D25" s="40" t="n">
        <v>0</v>
      </c>
      <c r="E25" s="2" t="n">
        <v>0</v>
      </c>
      <c r="F25" s="40" t="n">
        <v>0</v>
      </c>
      <c r="G25" s="53" t="n">
        <f aca="false">SUM(C25:F25)</f>
        <v>0</v>
      </c>
      <c r="H25" s="41" t="n">
        <v>0</v>
      </c>
      <c r="I25" s="54" t="n">
        <f aca="false">H25-G25</f>
        <v>0</v>
      </c>
    </row>
    <row r="26" customFormat="false" ht="12.75" hidden="false" customHeight="true" outlineLevel="0" collapsed="false">
      <c r="A26" s="28" t="str">
        <f aca="false">'[1]QTD Mgmt Summary'!A25</f>
        <v>Services (Foster/Wolfe)</v>
      </c>
      <c r="B26" s="19"/>
      <c r="C26" s="35" t="n">
        <v>0</v>
      </c>
      <c r="D26" s="40" t="n">
        <v>0</v>
      </c>
      <c r="E26" s="2" t="n">
        <v>0</v>
      </c>
      <c r="F26" s="40" t="n">
        <v>0</v>
      </c>
      <c r="G26" s="53" t="n">
        <f aca="false">SUM(C26:F26)</f>
        <v>0</v>
      </c>
      <c r="H26" s="41" t="n">
        <v>0</v>
      </c>
      <c r="I26" s="54" t="n">
        <f aca="false">H26-G26</f>
        <v>0</v>
      </c>
    </row>
    <row r="27" customFormat="false" ht="12.75" hidden="false" customHeight="true" outlineLevel="0" collapsed="false">
      <c r="A27" s="28" t="str">
        <f aca="false">'[1]QTD Mgmt Summary'!A26</f>
        <v>Middle Market Originations (Foster)</v>
      </c>
      <c r="B27" s="19"/>
      <c r="C27" s="35" t="n">
        <v>0</v>
      </c>
      <c r="D27" s="40" t="n">
        <v>0</v>
      </c>
      <c r="E27" s="2" t="n">
        <v>0</v>
      </c>
      <c r="F27" s="40" t="n">
        <v>0</v>
      </c>
      <c r="G27" s="53" t="n">
        <f aca="false">SUM(C27:F27)</f>
        <v>0</v>
      </c>
      <c r="H27" s="41" t="n">
        <v>0</v>
      </c>
      <c r="I27" s="54" t="n">
        <f aca="false">H27-G27</f>
        <v>0</v>
      </c>
    </row>
    <row r="28" customFormat="false" ht="12.75" hidden="false" customHeight="true" outlineLevel="0" collapsed="false">
      <c r="A28" s="28" t="str">
        <f aca="false">'[1]QTD Mgmt Summary'!A27</f>
        <v>Orginations (Thomas/McDonald)</v>
      </c>
      <c r="B28" s="19"/>
      <c r="C28" s="35" t="n">
        <v>111</v>
      </c>
      <c r="D28" s="40" t="n">
        <v>722</v>
      </c>
      <c r="E28" s="2" t="n">
        <v>1083.54</v>
      </c>
      <c r="F28" s="40" t="n">
        <v>963</v>
      </c>
      <c r="G28" s="53" t="n">
        <f aca="false">SUM(C28:F28)</f>
        <v>2879.54</v>
      </c>
      <c r="H28" s="41" t="n">
        <v>3000</v>
      </c>
      <c r="I28" s="54" t="n">
        <f aca="false">H28-G28</f>
        <v>120.46</v>
      </c>
    </row>
    <row r="29" customFormat="false" ht="12.75" hidden="false" customHeight="true" outlineLevel="0" collapsed="false">
      <c r="A29" s="28" t="str">
        <f aca="false">'[1]QTD Mgmt Summary'!A28</f>
        <v>Executive (Calger)</v>
      </c>
      <c r="B29" s="19"/>
      <c r="C29" s="35" t="n">
        <v>0</v>
      </c>
      <c r="D29" s="40" t="n">
        <v>0</v>
      </c>
      <c r="E29" s="2" t="n">
        <v>0</v>
      </c>
      <c r="F29" s="40" t="n">
        <v>0</v>
      </c>
      <c r="G29" s="53" t="n">
        <f aca="false">SUM(C29:F29)</f>
        <v>0</v>
      </c>
      <c r="H29" s="41" t="n">
        <v>0</v>
      </c>
      <c r="I29" s="54" t="n">
        <f aca="false">H29-G29</f>
        <v>0</v>
      </c>
    </row>
    <row r="30" customFormat="false" ht="12.75" hidden="false" customHeight="true" outlineLevel="0" collapsed="false">
      <c r="A30" s="28" t="str">
        <f aca="false">'[1]QTD Mgmt Summary'!A29</f>
        <v>Generation (Parquet)</v>
      </c>
      <c r="B30" s="19"/>
      <c r="C30" s="35" t="n">
        <v>2529</v>
      </c>
      <c r="D30" s="40" t="n">
        <v>2254</v>
      </c>
      <c r="E30" s="2" t="n">
        <v>2131</v>
      </c>
      <c r="F30" s="40" t="n">
        <v>1870</v>
      </c>
      <c r="G30" s="53" t="n">
        <f aca="false">SUM(C30:F30)</f>
        <v>8784</v>
      </c>
      <c r="H30" s="41" t="n">
        <v>9750</v>
      </c>
      <c r="I30" s="54" t="n">
        <f aca="false">H30-G30</f>
        <v>966</v>
      </c>
    </row>
    <row r="31" customFormat="false" ht="12.75" hidden="false" customHeight="true" outlineLevel="0" collapsed="false">
      <c r="A31" s="28" t="str">
        <f aca="false">'[1]QTD Mgmt Summary'!A30</f>
        <v>Fundamentals (Heizenreiker)</v>
      </c>
      <c r="B31" s="19"/>
      <c r="C31" s="35" t="n">
        <v>0</v>
      </c>
      <c r="D31" s="55" t="n">
        <v>0</v>
      </c>
      <c r="E31" s="2" t="n">
        <v>0</v>
      </c>
      <c r="F31" s="40" t="n">
        <v>0</v>
      </c>
      <c r="G31" s="53" t="n">
        <f aca="false">SUM(C31:F31)</f>
        <v>0</v>
      </c>
      <c r="H31" s="41" t="n">
        <v>0</v>
      </c>
      <c r="I31" s="54" t="n">
        <f aca="false">H31-G31</f>
        <v>0</v>
      </c>
    </row>
    <row r="32" customFormat="false" ht="12.75" hidden="false" customHeight="true" outlineLevel="0" collapsed="false">
      <c r="A32" s="44" t="s">
        <v>15</v>
      </c>
      <c r="B32" s="45"/>
      <c r="C32" s="46" t="n">
        <f aca="false">SUM(C25:C31)</f>
        <v>2640</v>
      </c>
      <c r="D32" s="47" t="n">
        <f aca="false">SUM(D25:D31)</f>
        <v>2976</v>
      </c>
      <c r="E32" s="47" t="n">
        <f aca="false">SUM(E25:E31)</f>
        <v>3214.54</v>
      </c>
      <c r="F32" s="48" t="n">
        <f aca="false">SUM(F25:F31)</f>
        <v>2833</v>
      </c>
      <c r="G32" s="49" t="n">
        <f aca="false">SUM(G25:G31)</f>
        <v>11663.54</v>
      </c>
      <c r="H32" s="50" t="n">
        <f aca="false">SUM(H25:H31)</f>
        <v>12750</v>
      </c>
      <c r="I32" s="51" t="n">
        <f aca="false">SUM(I25:I31)</f>
        <v>1086.46</v>
      </c>
      <c r="J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  <c r="IW32" s="52"/>
    </row>
    <row r="33" customFormat="false" ht="12.75" hidden="false" customHeight="true" outlineLevel="0" collapsed="false">
      <c r="A33" s="28" t="str">
        <f aca="false">'[1]QTD Mgmt Summary'!A32</f>
        <v>East Trading (Neal)</v>
      </c>
      <c r="B33" s="19"/>
      <c r="C33" s="35" t="n">
        <v>869</v>
      </c>
      <c r="D33" s="40" t="n">
        <v>509</v>
      </c>
      <c r="E33" s="2" t="n">
        <v>668</v>
      </c>
      <c r="F33" s="2" t="n">
        <v>1573</v>
      </c>
      <c r="G33" s="56" t="n">
        <f aca="false">SUM(C33:F33)</f>
        <v>3619</v>
      </c>
      <c r="H33" s="41" t="n">
        <v>6290</v>
      </c>
      <c r="I33" s="57" t="n">
        <f aca="false">H33-G33</f>
        <v>2671</v>
      </c>
    </row>
    <row r="34" customFormat="false" ht="12.75" hidden="false" customHeight="true" outlineLevel="0" collapsed="false">
      <c r="A34" s="28" t="str">
        <f aca="false">'[1]QTD Mgmt Summary'!A33</f>
        <v>East Origination (Vickers)</v>
      </c>
      <c r="B34" s="19"/>
      <c r="C34" s="35" t="n">
        <v>0</v>
      </c>
      <c r="D34" s="40" t="n">
        <v>0</v>
      </c>
      <c r="E34" s="2" t="n">
        <v>0</v>
      </c>
      <c r="F34" s="2" t="n">
        <v>0</v>
      </c>
      <c r="G34" s="56" t="n">
        <f aca="false">SUM(C34:F34)</f>
        <v>0</v>
      </c>
      <c r="H34" s="41" t="n">
        <v>0</v>
      </c>
      <c r="I34" s="54" t="n">
        <f aca="false">H34-G34</f>
        <v>0</v>
      </c>
    </row>
    <row r="35" customFormat="false" ht="12.75" hidden="false" customHeight="true" outlineLevel="0" collapsed="false">
      <c r="A35" s="28" t="str">
        <f aca="false">'[1]QTD Mgmt Summary'!A34</f>
        <v>Central Trading (Shively)</v>
      </c>
      <c r="B35" s="19"/>
      <c r="C35" s="35" t="n">
        <v>154</v>
      </c>
      <c r="D35" s="40" t="n">
        <v>502</v>
      </c>
      <c r="E35" s="2" t="n">
        <v>933.268</v>
      </c>
      <c r="F35" s="2" t="n">
        <v>144</v>
      </c>
      <c r="G35" s="56" t="n">
        <f aca="false">SUM(C35:F35)</f>
        <v>1733.268</v>
      </c>
      <c r="H35" s="41" t="n">
        <v>575</v>
      </c>
      <c r="I35" s="57" t="n">
        <f aca="false">H35-G35</f>
        <v>-1158.268</v>
      </c>
    </row>
    <row r="36" customFormat="false" ht="12.75" hidden="false" customHeight="true" outlineLevel="0" collapsed="false">
      <c r="A36" s="28" t="str">
        <f aca="false">'[1]QTD Mgmt Summary'!A35</f>
        <v>Central Origination (Luce)</v>
      </c>
      <c r="B36" s="19"/>
      <c r="C36" s="35" t="n">
        <v>0</v>
      </c>
      <c r="D36" s="40" t="n">
        <v>0</v>
      </c>
      <c r="E36" s="2" t="n">
        <v>0</v>
      </c>
      <c r="F36" s="2" t="n">
        <v>0</v>
      </c>
      <c r="G36" s="56" t="n">
        <f aca="false">SUM(C36:F36)</f>
        <v>0</v>
      </c>
      <c r="H36" s="41" t="n">
        <v>0</v>
      </c>
      <c r="I36" s="54" t="n">
        <f aca="false">H36-G36</f>
        <v>0</v>
      </c>
    </row>
    <row r="37" customFormat="false" ht="12.75" hidden="false" customHeight="true" outlineLevel="0" collapsed="false">
      <c r="A37" s="28" t="str">
        <f aca="false">'[1]QTD Mgmt Summary'!A36</f>
        <v>Texas Trading (Martin)</v>
      </c>
      <c r="B37" s="19"/>
      <c r="C37" s="39" t="n">
        <v>0</v>
      </c>
      <c r="D37" s="55" t="n">
        <v>0</v>
      </c>
      <c r="E37" s="2" t="n">
        <v>0</v>
      </c>
      <c r="F37" s="2" t="n">
        <v>0</v>
      </c>
      <c r="G37" s="56" t="n">
        <f aca="false">SUM(C37:F37)</f>
        <v>0</v>
      </c>
      <c r="H37" s="41" t="n">
        <v>0</v>
      </c>
      <c r="I37" s="54" t="n">
        <f aca="false">H37-G37</f>
        <v>0</v>
      </c>
    </row>
    <row r="38" customFormat="false" ht="12.75" hidden="false" customHeight="true" outlineLevel="0" collapsed="false">
      <c r="A38" s="28" t="str">
        <f aca="false">'[1]QTD Mgmt Summary'!A37</f>
        <v>Texas Origination (Redmond)</v>
      </c>
      <c r="B38" s="19"/>
      <c r="C38" s="39" t="n">
        <v>0</v>
      </c>
      <c r="D38" s="55" t="n">
        <v>0</v>
      </c>
      <c r="E38" s="2" t="n">
        <v>0</v>
      </c>
      <c r="F38" s="2" t="n">
        <v>0</v>
      </c>
      <c r="G38" s="56" t="n">
        <f aca="false">SUM(C38:F38)</f>
        <v>0</v>
      </c>
      <c r="H38" s="41" t="n">
        <v>0</v>
      </c>
      <c r="I38" s="54" t="n">
        <f aca="false">H38-G38</f>
        <v>0</v>
      </c>
    </row>
    <row r="39" customFormat="false" ht="12.75" hidden="false" customHeight="true" outlineLevel="0" collapsed="false">
      <c r="A39" s="28" t="str">
        <f aca="false">'[1]QTD Mgmt Summary'!A38</f>
        <v>West Trading (Allen)</v>
      </c>
      <c r="B39" s="19"/>
      <c r="C39" s="39" t="n">
        <v>0</v>
      </c>
      <c r="D39" s="55" t="n">
        <v>0</v>
      </c>
      <c r="E39" s="2" t="n">
        <v>0</v>
      </c>
      <c r="F39" s="2" t="n">
        <v>0</v>
      </c>
      <c r="G39" s="56" t="n">
        <f aca="false">SUM(C39:F39)</f>
        <v>0</v>
      </c>
      <c r="H39" s="41" t="n">
        <v>0</v>
      </c>
      <c r="I39" s="54" t="n">
        <f aca="false">H39-G39</f>
        <v>0</v>
      </c>
    </row>
    <row r="40" customFormat="false" ht="12.75" hidden="false" customHeight="true" outlineLevel="0" collapsed="false">
      <c r="A40" s="28" t="str">
        <f aca="false">'[1]QTD Mgmt Summary'!A39</f>
        <v>West Origination (Tycholiz)</v>
      </c>
      <c r="B40" s="19"/>
      <c r="C40" s="39" t="n">
        <v>0</v>
      </c>
      <c r="D40" s="55" t="n">
        <v>0</v>
      </c>
      <c r="E40" s="2" t="n">
        <v>0</v>
      </c>
      <c r="F40" s="2" t="n">
        <v>0</v>
      </c>
      <c r="G40" s="56" t="n">
        <f aca="false">SUM(C40:F40)</f>
        <v>0</v>
      </c>
      <c r="H40" s="41" t="n">
        <v>0</v>
      </c>
      <c r="I40" s="54" t="n">
        <f aca="false">H40-G40</f>
        <v>0</v>
      </c>
    </row>
    <row r="41" customFormat="false" ht="12.75" hidden="false" customHeight="true" outlineLevel="0" collapsed="false">
      <c r="A41" s="28" t="str">
        <f aca="false">'[1]QTD Mgmt Summary'!A40</f>
        <v>Financial Gas (Arnold)</v>
      </c>
      <c r="B41" s="19"/>
      <c r="C41" s="39" t="n">
        <v>0</v>
      </c>
      <c r="D41" s="55" t="n">
        <v>0</v>
      </c>
      <c r="E41" s="2" t="n">
        <v>0</v>
      </c>
      <c r="F41" s="2" t="n">
        <v>0</v>
      </c>
      <c r="G41" s="56" t="n">
        <f aca="false">SUM(C41:F41)</f>
        <v>0</v>
      </c>
      <c r="H41" s="41" t="n">
        <v>0</v>
      </c>
      <c r="I41" s="54" t="n">
        <f aca="false">H41-G41</f>
        <v>0</v>
      </c>
    </row>
    <row r="42" customFormat="false" ht="12.75" hidden="false" customHeight="true" outlineLevel="0" collapsed="false">
      <c r="A42" s="28" t="str">
        <f aca="false">'[1]QTD Mgmt Summary'!A41</f>
        <v>Derivative Origination (Lagrasta)</v>
      </c>
      <c r="B42" s="19"/>
      <c r="C42" s="39" t="n">
        <v>0</v>
      </c>
      <c r="D42" s="55" t="n">
        <v>0</v>
      </c>
      <c r="E42" s="2" t="n">
        <v>0</v>
      </c>
      <c r="F42" s="2" t="n">
        <v>0</v>
      </c>
      <c r="G42" s="56" t="n">
        <f aca="false">SUM(C42:F42)</f>
        <v>0</v>
      </c>
      <c r="H42" s="41" t="n">
        <v>0</v>
      </c>
      <c r="I42" s="54" t="n">
        <f aca="false">H42-G42</f>
        <v>0</v>
      </c>
    </row>
    <row r="43" customFormat="false" ht="12.75" hidden="false" customHeight="true" outlineLevel="0" collapsed="false">
      <c r="A43" s="28" t="str">
        <f aca="false">'[1]QTD Mgmt Summary'!A42</f>
        <v>NG Structuring (McMichael)</v>
      </c>
      <c r="B43" s="19"/>
      <c r="C43" s="39" t="n">
        <v>0</v>
      </c>
      <c r="D43" s="55" t="n">
        <v>0</v>
      </c>
      <c r="E43" s="2" t="n">
        <v>0</v>
      </c>
      <c r="F43" s="2" t="n">
        <v>0</v>
      </c>
      <c r="G43" s="56" t="n">
        <f aca="false">SUM(C43:F43)</f>
        <v>0</v>
      </c>
      <c r="H43" s="41" t="n">
        <v>0</v>
      </c>
      <c r="I43" s="54" t="n">
        <f aca="false">H43-G43</f>
        <v>0</v>
      </c>
    </row>
    <row r="44" customFormat="false" ht="12.75" hidden="false" customHeight="true" outlineLevel="0" collapsed="false">
      <c r="A44" s="28" t="str">
        <f aca="false">'[1]QTD Mgmt Summary'!A43</f>
        <v>NG Fundamentals (Gaskill)</v>
      </c>
      <c r="B44" s="19"/>
      <c r="C44" s="39" t="n">
        <v>0</v>
      </c>
      <c r="D44" s="55" t="n">
        <v>0</v>
      </c>
      <c r="E44" s="2" t="n">
        <v>0</v>
      </c>
      <c r="F44" s="2" t="n">
        <v>0</v>
      </c>
      <c r="G44" s="56" t="n">
        <f aca="false">SUM(C44:F44)</f>
        <v>0</v>
      </c>
      <c r="H44" s="41" t="n">
        <v>0</v>
      </c>
      <c r="I44" s="54" t="n">
        <f aca="false">H44-G44</f>
        <v>0</v>
      </c>
    </row>
    <row r="45" customFormat="false" ht="12.75" hidden="false" customHeight="true" outlineLevel="0" collapsed="false">
      <c r="A45" s="28" t="str">
        <f aca="false">'[1]QTD Mgmt Summary'!A44</f>
        <v>Management</v>
      </c>
      <c r="B45" s="19"/>
      <c r="C45" s="39" t="n">
        <v>0</v>
      </c>
      <c r="D45" s="55" t="n">
        <v>0</v>
      </c>
      <c r="E45" s="2" t="n">
        <v>0</v>
      </c>
      <c r="F45" s="2" t="n">
        <v>0</v>
      </c>
      <c r="G45" s="56" t="n">
        <f aca="false">SUM(C45:F45)</f>
        <v>0</v>
      </c>
      <c r="H45" s="41" t="n">
        <v>0</v>
      </c>
      <c r="I45" s="54" t="n">
        <f aca="false">H45-G45</f>
        <v>0</v>
      </c>
    </row>
    <row r="46" customFormat="false" ht="12.75" hidden="false" customHeight="true" outlineLevel="0" collapsed="false">
      <c r="A46" s="44" t="s">
        <v>16</v>
      </c>
      <c r="B46" s="45"/>
      <c r="C46" s="46" t="n">
        <f aca="false">SUM(C33:C45)</f>
        <v>1023</v>
      </c>
      <c r="D46" s="47" t="n">
        <f aca="false">SUM(D33:D45)</f>
        <v>1011</v>
      </c>
      <c r="E46" s="47" t="n">
        <f aca="false">SUM(E33:E45)</f>
        <v>1601.268</v>
      </c>
      <c r="F46" s="48" t="n">
        <f aca="false">SUM(F33:F45)</f>
        <v>1717</v>
      </c>
      <c r="G46" s="49" t="n">
        <f aca="false">SUM(G33:G45)</f>
        <v>5352.268</v>
      </c>
      <c r="H46" s="50" t="n">
        <f aca="false">SUM(H33:H45)</f>
        <v>6865</v>
      </c>
      <c r="I46" s="51" t="n">
        <f aca="false">SUM(I33:I45)</f>
        <v>1512.732</v>
      </c>
      <c r="J46" s="52"/>
      <c r="L46" s="58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</row>
    <row r="47" customFormat="false" ht="12.75" hidden="false" customHeight="true" outlineLevel="0" collapsed="false">
      <c r="A47" s="28" t="str">
        <f aca="false">'[1]QTD Mgmt Summary'!A46</f>
        <v>Natural Gas Trading (Zufferli)</v>
      </c>
      <c r="B47" s="19"/>
      <c r="C47" s="35" t="n">
        <v>110</v>
      </c>
      <c r="D47" s="40" t="n">
        <v>104</v>
      </c>
      <c r="E47" s="2" t="n">
        <v>281</v>
      </c>
      <c r="F47" s="59" t="n">
        <v>99</v>
      </c>
      <c r="G47" s="56" t="n">
        <f aca="false">SUM(C47:F47)</f>
        <v>594</v>
      </c>
      <c r="H47" s="41" t="n">
        <v>396</v>
      </c>
      <c r="I47" s="57" t="n">
        <f aca="false">H47-G47</f>
        <v>-198</v>
      </c>
    </row>
    <row r="48" customFormat="false" ht="12.75" hidden="false" customHeight="true" outlineLevel="0" collapsed="false">
      <c r="A48" s="28" t="str">
        <f aca="false">'[1]QTD Mgmt Summary'!A47</f>
        <v>Natural Gas Origination (LeDain)</v>
      </c>
      <c r="B48" s="19"/>
      <c r="C48" s="35" t="n">
        <v>0</v>
      </c>
      <c r="D48" s="40" t="n">
        <v>0</v>
      </c>
      <c r="E48" s="2" t="n">
        <v>0</v>
      </c>
      <c r="F48" s="40" t="n">
        <v>0</v>
      </c>
      <c r="G48" s="39" t="n">
        <f aca="false">SUM(C48:F48)</f>
        <v>0</v>
      </c>
      <c r="H48" s="41" t="n">
        <v>0</v>
      </c>
      <c r="I48" s="54" t="n">
        <f aca="false">H48-G48</f>
        <v>0</v>
      </c>
    </row>
    <row r="49" customFormat="false" ht="12.75" hidden="false" customHeight="true" outlineLevel="0" collapsed="false">
      <c r="A49" s="28" t="str">
        <f aca="false">'[1]QTD Mgmt Summary'!A48</f>
        <v>Finance (Kitagawa)</v>
      </c>
      <c r="B49" s="19"/>
      <c r="C49" s="35" t="n">
        <v>1413</v>
      </c>
      <c r="D49" s="40" t="n">
        <v>1452</v>
      </c>
      <c r="E49" s="2" t="n">
        <v>575</v>
      </c>
      <c r="F49" s="59" t="n">
        <v>98</v>
      </c>
      <c r="G49" s="60" t="n">
        <f aca="false">SUM(C49:F49)</f>
        <v>3538</v>
      </c>
      <c r="H49" s="41" t="n">
        <v>1409</v>
      </c>
      <c r="I49" s="57" t="n">
        <f aca="false">H49-G49</f>
        <v>-2129</v>
      </c>
    </row>
    <row r="50" customFormat="false" ht="12.75" hidden="false" customHeight="true" outlineLevel="0" collapsed="false">
      <c r="A50" s="28" t="str">
        <f aca="false">'[1]QTD Mgmt Summary'!A49</f>
        <v>Alberta Power Trading (Zufferli)</v>
      </c>
      <c r="B50" s="19"/>
      <c r="C50" s="35" t="n">
        <v>0</v>
      </c>
      <c r="D50" s="40" t="n">
        <v>0</v>
      </c>
      <c r="E50" s="2" t="n">
        <v>0</v>
      </c>
      <c r="F50" s="40" t="n">
        <v>0</v>
      </c>
      <c r="G50" s="39" t="n">
        <f aca="false">SUM(C50:F50)</f>
        <v>0</v>
      </c>
      <c r="H50" s="41" t="n">
        <v>0</v>
      </c>
      <c r="I50" s="54" t="n">
        <f aca="false">H50-G50</f>
        <v>0</v>
      </c>
    </row>
    <row r="51" customFormat="false" ht="12.75" hidden="false" customHeight="true" outlineLevel="0" collapsed="false">
      <c r="A51" s="28" t="str">
        <f aca="false">'[1]QTD Mgmt Summary'!A50</f>
        <v>Alberta Power Orig (Davies)</v>
      </c>
      <c r="B51" s="19"/>
      <c r="C51" s="35" t="n">
        <v>0</v>
      </c>
      <c r="D51" s="40" t="n">
        <v>0</v>
      </c>
      <c r="E51" s="2" t="n">
        <v>0</v>
      </c>
      <c r="F51" s="40" t="n">
        <v>0</v>
      </c>
      <c r="G51" s="39" t="n">
        <f aca="false">SUM(C51:F51)</f>
        <v>0</v>
      </c>
      <c r="H51" s="41" t="n">
        <v>0</v>
      </c>
      <c r="I51" s="54" t="n">
        <f aca="false">H51-G51</f>
        <v>0</v>
      </c>
    </row>
    <row r="52" customFormat="false" ht="12.75" hidden="false" customHeight="true" outlineLevel="0" collapsed="false">
      <c r="A52" s="28" t="str">
        <f aca="false">'[1]QTD Mgmt Summary'!A51</f>
        <v>Ontario Power (Devries)</v>
      </c>
      <c r="B52" s="19"/>
      <c r="C52" s="35" t="n">
        <v>0</v>
      </c>
      <c r="D52" s="40" t="n">
        <v>0</v>
      </c>
      <c r="E52" s="2" t="n">
        <v>0</v>
      </c>
      <c r="F52" s="40" t="n">
        <v>447</v>
      </c>
      <c r="G52" s="39" t="n">
        <f aca="false">SUM(C52:F52)</f>
        <v>447</v>
      </c>
      <c r="H52" s="41" t="n">
        <v>1788</v>
      </c>
      <c r="I52" s="54" t="n">
        <f aca="false">H52-G52</f>
        <v>1341</v>
      </c>
    </row>
    <row r="53" customFormat="false" ht="12.75" hidden="false" customHeight="true" outlineLevel="0" collapsed="false">
      <c r="A53" s="28" t="str">
        <f aca="false">'[1]QTD Mgmt Summary'!A52</f>
        <v>Executive (Milnthorp)</v>
      </c>
      <c r="B53" s="19"/>
      <c r="C53" s="35" t="n">
        <v>0</v>
      </c>
      <c r="D53" s="40" t="n">
        <v>0</v>
      </c>
      <c r="E53" s="2" t="n">
        <v>0</v>
      </c>
      <c r="F53" s="40" t="n">
        <v>0</v>
      </c>
      <c r="G53" s="39" t="n">
        <f aca="false">SUM(C53:F53)</f>
        <v>0</v>
      </c>
      <c r="H53" s="41" t="n">
        <v>0</v>
      </c>
      <c r="I53" s="54" t="n">
        <f aca="false">H53-G53</f>
        <v>0</v>
      </c>
    </row>
    <row r="54" customFormat="false" ht="12.75" hidden="false" customHeight="true" outlineLevel="0" collapsed="false">
      <c r="A54" s="44" t="s">
        <v>17</v>
      </c>
      <c r="B54" s="45"/>
      <c r="C54" s="46" t="n">
        <f aca="false">SUM(C47:C53)</f>
        <v>1523</v>
      </c>
      <c r="D54" s="47" t="n">
        <f aca="false">SUM(D47:D53)</f>
        <v>1556</v>
      </c>
      <c r="E54" s="47" t="n">
        <f aca="false">SUM(E47:E53)</f>
        <v>856</v>
      </c>
      <c r="F54" s="47" t="n">
        <f aca="false">SUM(F47:F53)</f>
        <v>644</v>
      </c>
      <c r="G54" s="46" t="n">
        <f aca="false">SUM(G47:G53)</f>
        <v>4579</v>
      </c>
      <c r="H54" s="61" t="n">
        <f aca="false">SUM(H47:H53)</f>
        <v>3593</v>
      </c>
      <c r="I54" s="62" t="n">
        <f aca="false">SUM(I47:I53)</f>
        <v>-986</v>
      </c>
      <c r="J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  <c r="IW54" s="52"/>
    </row>
    <row r="55" customFormat="false" ht="12.75" hidden="false" customHeight="true" outlineLevel="0" collapsed="false">
      <c r="A55" s="28" t="str">
        <f aca="false">'[1]QTD Mgmt Summary'!A54</f>
        <v>Upstream Products (Mrha)</v>
      </c>
      <c r="B55" s="19"/>
      <c r="C55" s="35" t="n">
        <v>1094</v>
      </c>
      <c r="D55" s="2" t="n">
        <v>-75</v>
      </c>
      <c r="E55" s="2" t="n">
        <v>0</v>
      </c>
      <c r="F55" s="55" t="n">
        <v>501</v>
      </c>
      <c r="G55" s="39" t="n">
        <f aca="false">SUM(C55:F55)</f>
        <v>1520</v>
      </c>
      <c r="H55" s="41" t="n">
        <v>1655</v>
      </c>
      <c r="I55" s="54" t="n">
        <f aca="false">H55-G55</f>
        <v>135</v>
      </c>
    </row>
    <row r="56" customFormat="false" ht="12.75" hidden="false" customHeight="true" outlineLevel="0" collapsed="false">
      <c r="A56" s="28" t="str">
        <f aca="false">'[1]QTD Mgmt Summary'!A55</f>
        <v>Bridgeline (Redmond)</v>
      </c>
      <c r="B56" s="19"/>
      <c r="C56" s="39" t="n">
        <v>3647</v>
      </c>
      <c r="D56" s="55" t="n">
        <v>7905</v>
      </c>
      <c r="E56" s="2" t="n">
        <v>5290.566</v>
      </c>
      <c r="F56" s="55" t="n">
        <v>6282</v>
      </c>
      <c r="G56" s="39" t="n">
        <f aca="false">SUM(C56:F56)</f>
        <v>23124.566</v>
      </c>
      <c r="H56" s="41" t="n">
        <v>25128</v>
      </c>
      <c r="I56" s="54" t="n">
        <f aca="false">H56-G56</f>
        <v>2003.434</v>
      </c>
    </row>
    <row r="57" customFormat="false" ht="12.75" hidden="false" customHeight="true" outlineLevel="0" collapsed="false">
      <c r="A57" s="28" t="str">
        <f aca="false">'[1]QTD Mgmt Summary'!A56</f>
        <v>HPL (Redmond)</v>
      </c>
      <c r="B57" s="19"/>
      <c r="C57" s="39" t="n">
        <v>0</v>
      </c>
      <c r="D57" s="55" t="n">
        <v>0</v>
      </c>
      <c r="E57" s="2" t="n">
        <v>0</v>
      </c>
      <c r="F57" s="55" t="n">
        <v>0</v>
      </c>
      <c r="G57" s="39" t="n">
        <f aca="false">SUM(C57:F57)</f>
        <v>0</v>
      </c>
      <c r="H57" s="41" t="n">
        <v>0</v>
      </c>
      <c r="I57" s="54" t="n">
        <f aca="false">H57-G57</f>
        <v>0</v>
      </c>
    </row>
    <row r="58" customFormat="false" ht="12.75" hidden="false" customHeight="true" outlineLevel="0" collapsed="false">
      <c r="A58" s="28" t="str">
        <f aca="false">'[1]QTD Mgmt Summary'!A57</f>
        <v>Mexico (Irvin/Williams)</v>
      </c>
      <c r="B58" s="19"/>
      <c r="C58" s="39" t="n">
        <v>0</v>
      </c>
      <c r="D58" s="55" t="n">
        <v>41</v>
      </c>
      <c r="E58" s="2" t="n">
        <v>43.075</v>
      </c>
      <c r="F58" s="63" t="n">
        <v>0</v>
      </c>
      <c r="G58" s="60" t="n">
        <f aca="false">SUM(C58:F58)</f>
        <v>84.075</v>
      </c>
      <c r="H58" s="41" t="n">
        <v>0</v>
      </c>
      <c r="I58" s="54" t="n">
        <f aca="false">H58-G58</f>
        <v>-84.075</v>
      </c>
    </row>
    <row r="59" customFormat="false" ht="12.75" hidden="false" customHeight="true" outlineLevel="0" collapsed="false">
      <c r="A59" s="28" t="str">
        <f aca="false">'[1]QTD Mgmt Summary'!A58</f>
        <v>Energy Capital Svcs (Thompson/Josey)</v>
      </c>
      <c r="B59" s="19"/>
      <c r="C59" s="39" t="n">
        <v>8137</v>
      </c>
      <c r="D59" s="55" t="n">
        <v>8680</v>
      </c>
      <c r="E59" s="2" t="n">
        <v>5048</v>
      </c>
      <c r="F59" s="63" t="n">
        <v>13764</v>
      </c>
      <c r="G59" s="60" t="n">
        <f aca="false">SUM(C59:F59)</f>
        <v>35629</v>
      </c>
      <c r="H59" s="41" t="n">
        <f aca="false">24878+501+1641</f>
        <v>27020</v>
      </c>
      <c r="I59" s="54" t="n">
        <f aca="false">H59-G59</f>
        <v>-8609</v>
      </c>
    </row>
    <row r="60" customFormat="false" ht="12.75" hidden="false" customHeight="true" outlineLevel="0" collapsed="false">
      <c r="A60" s="28" t="str">
        <f aca="false">'[1]QTD Mgmt Summary'!A59</f>
        <v>Mariner</v>
      </c>
      <c r="B60" s="19"/>
      <c r="C60" s="39" t="n">
        <v>13695</v>
      </c>
      <c r="D60" s="55" t="n">
        <v>13975</v>
      </c>
      <c r="E60" s="2" t="n">
        <v>15764</v>
      </c>
      <c r="F60" s="63" t="n">
        <v>0</v>
      </c>
      <c r="G60" s="60" t="n">
        <f aca="false">SUM(C60:F60)</f>
        <v>43434</v>
      </c>
      <c r="H60" s="41" t="n">
        <v>24020</v>
      </c>
      <c r="I60" s="54" t="n">
        <f aca="false">H60-G60</f>
        <v>-19414</v>
      </c>
    </row>
    <row r="61" customFormat="false" ht="12.75" hidden="false" customHeight="true" outlineLevel="0" collapsed="false">
      <c r="A61" s="28" t="str">
        <f aca="false">'[1]QTD Mgmt Summary'!A60</f>
        <v>Asset Marketing (D. Miller)</v>
      </c>
      <c r="B61" s="38"/>
      <c r="C61" s="39" t="n">
        <v>0</v>
      </c>
      <c r="D61" s="55" t="n">
        <v>0</v>
      </c>
      <c r="E61" s="2" t="n">
        <v>0</v>
      </c>
      <c r="F61" s="55" t="n">
        <v>0</v>
      </c>
      <c r="G61" s="39" t="n">
        <f aca="false">SUM(C61:F61)</f>
        <v>0</v>
      </c>
      <c r="H61" s="41" t="n">
        <v>0</v>
      </c>
      <c r="I61" s="54" t="n">
        <f aca="false">H61-G61</f>
        <v>0</v>
      </c>
    </row>
    <row r="62" customFormat="false" ht="12.75" hidden="false" customHeight="true" outlineLevel="0" collapsed="false">
      <c r="A62" s="28" t="str">
        <f aca="false">GrossMargin!A62</f>
        <v>Principal Investing (Miller)</v>
      </c>
      <c r="B62" s="38"/>
      <c r="C62" s="39" t="n">
        <v>4963</v>
      </c>
      <c r="D62" s="55" t="n">
        <v>4667</v>
      </c>
      <c r="E62" s="2" t="n">
        <v>0</v>
      </c>
      <c r="F62" s="55" t="n">
        <v>0</v>
      </c>
      <c r="G62" s="39" t="n">
        <f aca="false">SUM(C62:F62)</f>
        <v>9630</v>
      </c>
      <c r="H62" s="41" t="n">
        <v>21328</v>
      </c>
      <c r="I62" s="54" t="n">
        <f aca="false">H62-G62</f>
        <v>11698</v>
      </c>
    </row>
    <row r="63" customFormat="false" ht="12.75" hidden="false" customHeight="true" outlineLevel="0" collapsed="false">
      <c r="A63" s="28" t="str">
        <f aca="false">GrossMargin!A63</f>
        <v>Corporate Development (Detmering)</v>
      </c>
      <c r="B63" s="38"/>
      <c r="C63" s="39" t="n">
        <v>0</v>
      </c>
      <c r="D63" s="55" t="n">
        <v>0</v>
      </c>
      <c r="E63" s="2" t="n">
        <v>0</v>
      </c>
      <c r="F63" s="55" t="n">
        <v>0</v>
      </c>
      <c r="G63" s="39" t="n">
        <f aca="false">SUM(C63:F63)</f>
        <v>0</v>
      </c>
      <c r="H63" s="41" t="n">
        <v>13627</v>
      </c>
      <c r="I63" s="54" t="n">
        <f aca="false">H63-G63</f>
        <v>13627</v>
      </c>
    </row>
    <row r="64" customFormat="false" ht="12.75" hidden="false" customHeight="true" outlineLevel="0" collapsed="false">
      <c r="A64" s="28" t="str">
        <f aca="false">'[1]QTD Mgmt Summary'!A61</f>
        <v>Sold Peakers</v>
      </c>
      <c r="B64" s="38"/>
      <c r="C64" s="39" t="n">
        <v>32320</v>
      </c>
      <c r="D64" s="55" t="n">
        <v>8205</v>
      </c>
      <c r="E64" s="2" t="n">
        <v>0</v>
      </c>
      <c r="F64" s="55" t="n">
        <v>0</v>
      </c>
      <c r="G64" s="39" t="n">
        <f aca="false">SUM(C64:F64)</f>
        <v>40525</v>
      </c>
      <c r="H64" s="41" t="n">
        <v>65776</v>
      </c>
      <c r="I64" s="54" t="n">
        <f aca="false">H64-G64</f>
        <v>25251</v>
      </c>
    </row>
    <row r="65" customFormat="false" ht="12.75" hidden="false" customHeight="true" outlineLevel="0" collapsed="false">
      <c r="A65" s="28" t="str">
        <f aca="false">'[1]QTD Mgmt Summary'!A62</f>
        <v>Cross Commodity (Lavorato)</v>
      </c>
      <c r="B65" s="38"/>
      <c r="C65" s="39" t="n">
        <v>0</v>
      </c>
      <c r="D65" s="55" t="n">
        <v>0</v>
      </c>
      <c r="E65" s="2" t="n">
        <v>0</v>
      </c>
      <c r="F65" s="55" t="n">
        <v>0</v>
      </c>
      <c r="G65" s="39" t="n">
        <f aca="false">SUM(C65:F65)</f>
        <v>0</v>
      </c>
      <c r="H65" s="41" t="n">
        <v>0</v>
      </c>
      <c r="I65" s="54" t="n">
        <f aca="false">H65-G65</f>
        <v>0</v>
      </c>
    </row>
    <row r="66" customFormat="false" ht="12.75" hidden="false" customHeight="true" outlineLevel="0" collapsed="false">
      <c r="A66" s="28" t="str">
        <f aca="false">'[1]QTD Mgmt Summary'!A63</f>
        <v>Office of the Chairman (Lavorato/Kitchen)</v>
      </c>
      <c r="B66" s="19"/>
      <c r="C66" s="39" t="n">
        <v>0</v>
      </c>
      <c r="D66" s="55" t="n">
        <v>0</v>
      </c>
      <c r="E66" s="2" t="n">
        <v>0</v>
      </c>
      <c r="F66" s="55" t="n">
        <v>0</v>
      </c>
      <c r="G66" s="39" t="n">
        <f aca="false">SUM(C66:F66)</f>
        <v>0</v>
      </c>
      <c r="H66" s="41" t="n">
        <v>0</v>
      </c>
      <c r="I66" s="54" t="n">
        <f aca="false">H66-G66</f>
        <v>0</v>
      </c>
    </row>
    <row r="67" customFormat="false" ht="12.75" hidden="false" customHeight="true" outlineLevel="0" collapsed="false">
      <c r="A67" s="28" t="str">
        <f aca="false">'[1]QTD Mgmt Summary'!A64</f>
        <v>TVA Settlement</v>
      </c>
      <c r="B67" s="19"/>
      <c r="C67" s="39" t="n">
        <v>0</v>
      </c>
      <c r="D67" s="55" t="n">
        <v>0</v>
      </c>
      <c r="E67" s="2" t="n">
        <v>0</v>
      </c>
      <c r="F67" s="55" t="n">
        <v>0</v>
      </c>
      <c r="G67" s="39" t="n">
        <f aca="false">SUM(C67:F67)</f>
        <v>0</v>
      </c>
      <c r="H67" s="41" t="n">
        <v>0</v>
      </c>
      <c r="I67" s="54" t="n">
        <f aca="false">H67-G67</f>
        <v>0</v>
      </c>
    </row>
    <row r="68" customFormat="false" ht="12.75" hidden="false" customHeight="true" outlineLevel="0" collapsed="false">
      <c r="A68" s="28" t="str">
        <f aca="false">'[1]QTD Mgmt Summary'!A65</f>
        <v>Other *</v>
      </c>
      <c r="B68" s="19"/>
      <c r="C68" s="39" t="n">
        <v>11259</v>
      </c>
      <c r="D68" s="55" t="n">
        <v>9017</v>
      </c>
      <c r="E68" s="2" t="n">
        <v>0</v>
      </c>
      <c r="F68" s="63" t="n">
        <v>14984</v>
      </c>
      <c r="G68" s="60" t="n">
        <f aca="false">SUM(C68:F68)</f>
        <v>35260</v>
      </c>
      <c r="H68" s="41" t="n">
        <v>57787</v>
      </c>
      <c r="I68" s="54" t="n">
        <f aca="false">H68-G68</f>
        <v>22527</v>
      </c>
    </row>
    <row r="69" customFormat="false" ht="12.75" hidden="false" customHeight="true" outlineLevel="0" collapsed="false">
      <c r="A69" s="44" t="s">
        <v>18</v>
      </c>
      <c r="B69" s="45"/>
      <c r="C69" s="46" t="n">
        <f aca="false">SUM(C55:C68)+C54+C46+C32+C24</f>
        <v>99933</v>
      </c>
      <c r="D69" s="47" t="n">
        <f aca="false">SUM(D55:D68)+D54+D46+D32+D24</f>
        <v>70492</v>
      </c>
      <c r="E69" s="47" t="n">
        <f aca="false">SUM(E55:E68)+E54+E46+E32+E24</f>
        <v>48794.635</v>
      </c>
      <c r="F69" s="62" t="n">
        <f aca="false">SUM(F55:F68)+F54+F46+F32+F24</f>
        <v>57444</v>
      </c>
      <c r="G69" s="99" t="n">
        <f aca="false">(SUM(G55:G68))+G24+G32+G46+G54</f>
        <v>276663.635</v>
      </c>
      <c r="H69" s="99" t="n">
        <f aca="false">(SUM(H55:H68))+H24+H32+H46+H54</f>
        <v>324322</v>
      </c>
      <c r="I69" s="99" t="n">
        <f aca="false">(SUM(I55:I68))+I24+I32+I46+I54</f>
        <v>47658.365</v>
      </c>
      <c r="J69" s="64"/>
      <c r="K69" s="70"/>
      <c r="L69" s="65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  <c r="HU69" s="64"/>
      <c r="HV69" s="64"/>
      <c r="HW69" s="64"/>
      <c r="HX69" s="64"/>
      <c r="HY69" s="64"/>
      <c r="HZ69" s="64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64"/>
      <c r="IQ69" s="64"/>
      <c r="IR69" s="64"/>
      <c r="IS69" s="64"/>
      <c r="IT69" s="64"/>
      <c r="IU69" s="64"/>
      <c r="IV69" s="64"/>
      <c r="IW69" s="64"/>
    </row>
    <row r="70" customFormat="false" ht="5.25" hidden="false" customHeight="true" outlineLevel="0" collapsed="false">
      <c r="A70" s="66"/>
      <c r="B70" s="19"/>
      <c r="C70" s="35"/>
      <c r="D70" s="2"/>
      <c r="E70" s="67"/>
      <c r="F70" s="55"/>
      <c r="G70" s="101"/>
      <c r="H70" s="123"/>
      <c r="I70" s="103"/>
    </row>
    <row r="71" customFormat="false" ht="12.75" hidden="false" customHeight="true" outlineLevel="0" collapsed="false">
      <c r="A71" s="66" t="s">
        <v>19</v>
      </c>
      <c r="B71" s="19"/>
      <c r="C71" s="39" t="n">
        <v>0</v>
      </c>
      <c r="D71" s="55" t="n">
        <v>0</v>
      </c>
      <c r="E71" s="2" t="n">
        <v>0</v>
      </c>
      <c r="F71" s="40" t="n">
        <v>0</v>
      </c>
      <c r="G71" s="39" t="n">
        <f aca="false">SUM(C71:F71)</f>
        <v>0</v>
      </c>
      <c r="H71" s="71" t="n">
        <v>0</v>
      </c>
      <c r="I71" s="54" t="n">
        <f aca="false">H71-G71</f>
        <v>0</v>
      </c>
    </row>
    <row r="72" customFormat="false" ht="12.75" hidden="false" customHeight="true" outlineLevel="0" collapsed="false">
      <c r="A72" s="66" t="s">
        <v>20</v>
      </c>
      <c r="B72" s="19"/>
      <c r="C72" s="39" t="n">
        <v>0</v>
      </c>
      <c r="D72" s="55" t="n">
        <v>0</v>
      </c>
      <c r="E72" s="2" t="n">
        <v>0</v>
      </c>
      <c r="F72" s="40" t="n">
        <v>0</v>
      </c>
      <c r="G72" s="39" t="n">
        <f aca="false">SUM(C72:F72)</f>
        <v>0</v>
      </c>
      <c r="H72" s="71" t="n">
        <v>0</v>
      </c>
      <c r="I72" s="54" t="n">
        <f aca="false">H72-G72</f>
        <v>0</v>
      </c>
    </row>
    <row r="73" customFormat="false" ht="12.75" hidden="false" customHeight="true" outlineLevel="0" collapsed="false">
      <c r="A73" s="66" t="s">
        <v>21</v>
      </c>
      <c r="B73" s="19"/>
      <c r="C73" s="39" t="n">
        <v>0</v>
      </c>
      <c r="D73" s="55" t="n">
        <v>0</v>
      </c>
      <c r="E73" s="2" t="n">
        <v>0</v>
      </c>
      <c r="F73" s="40" t="n">
        <v>0</v>
      </c>
      <c r="G73" s="39" t="n">
        <f aca="false">SUM(C73:F73)</f>
        <v>0</v>
      </c>
      <c r="H73" s="71" t="n">
        <v>0</v>
      </c>
      <c r="I73" s="54" t="n">
        <f aca="false">H73-G73</f>
        <v>0</v>
      </c>
    </row>
    <row r="74" customFormat="false" ht="12.75" hidden="false" customHeight="true" outlineLevel="0" collapsed="false">
      <c r="A74" s="66" t="s">
        <v>22</v>
      </c>
      <c r="B74" s="19"/>
      <c r="C74" s="39" t="n">
        <v>0</v>
      </c>
      <c r="D74" s="55" t="n">
        <v>0</v>
      </c>
      <c r="E74" s="2" t="n">
        <v>0</v>
      </c>
      <c r="F74" s="40" t="n">
        <v>0</v>
      </c>
      <c r="G74" s="39" t="n">
        <f aca="false">SUM(C74:F74)</f>
        <v>0</v>
      </c>
      <c r="H74" s="71" t="n">
        <v>0</v>
      </c>
      <c r="I74" s="54" t="n">
        <f aca="false">H74-G74</f>
        <v>0</v>
      </c>
    </row>
    <row r="75" customFormat="false" ht="12.75" hidden="false" customHeight="true" outlineLevel="0" collapsed="false">
      <c r="A75" s="66" t="s">
        <v>23</v>
      </c>
      <c r="B75" s="19"/>
      <c r="C75" s="39" t="n">
        <v>0</v>
      </c>
      <c r="D75" s="55" t="n">
        <v>0</v>
      </c>
      <c r="E75" s="2" t="n">
        <v>0</v>
      </c>
      <c r="F75" s="40" t="n">
        <v>0</v>
      </c>
      <c r="G75" s="39" t="n">
        <f aca="false">SUM(C75:F75)</f>
        <v>0</v>
      </c>
      <c r="H75" s="71" t="n">
        <v>0</v>
      </c>
      <c r="I75" s="54" t="n">
        <f aca="false">H75-G75</f>
        <v>0</v>
      </c>
    </row>
    <row r="76" customFormat="false" ht="12.75" hidden="false" customHeight="true" outlineLevel="0" collapsed="false">
      <c r="A76" s="66" t="s">
        <v>24</v>
      </c>
      <c r="B76" s="19"/>
      <c r="C76" s="39" t="n">
        <v>0</v>
      </c>
      <c r="D76" s="55" t="n">
        <v>0</v>
      </c>
      <c r="E76" s="2" t="n">
        <v>0</v>
      </c>
      <c r="F76" s="40" t="n">
        <v>0</v>
      </c>
      <c r="G76" s="39" t="n">
        <f aca="false">SUM(C76:F76)</f>
        <v>0</v>
      </c>
      <c r="H76" s="71" t="n">
        <v>0</v>
      </c>
      <c r="I76" s="54" t="n">
        <f aca="false">H76-G76</f>
        <v>0</v>
      </c>
    </row>
    <row r="77" customFormat="false" ht="12.75" hidden="false" customHeight="true" outlineLevel="0" collapsed="false">
      <c r="A77" s="66" t="s">
        <v>25</v>
      </c>
      <c r="B77" s="19"/>
      <c r="C77" s="39" t="n">
        <v>0</v>
      </c>
      <c r="D77" s="55" t="n">
        <v>0</v>
      </c>
      <c r="E77" s="2" t="n">
        <v>0</v>
      </c>
      <c r="F77" s="40" t="n">
        <v>0</v>
      </c>
      <c r="G77" s="39" t="n">
        <f aca="false">SUM(C77:F77)</f>
        <v>0</v>
      </c>
      <c r="H77" s="71" t="n">
        <v>0</v>
      </c>
      <c r="I77" s="54" t="n">
        <f aca="false">H77-G77</f>
        <v>0</v>
      </c>
    </row>
    <row r="78" customFormat="false" ht="12.75" hidden="false" customHeight="true" outlineLevel="0" collapsed="false">
      <c r="A78" s="66" t="s">
        <v>26</v>
      </c>
      <c r="B78" s="19"/>
      <c r="C78" s="39" t="n">
        <v>0</v>
      </c>
      <c r="D78" s="55" t="n">
        <v>0</v>
      </c>
      <c r="E78" s="2" t="n">
        <v>0</v>
      </c>
      <c r="F78" s="40" t="n">
        <v>0</v>
      </c>
      <c r="G78" s="39" t="n">
        <f aca="false">SUM(C78:F78)</f>
        <v>0</v>
      </c>
      <c r="H78" s="124" t="n">
        <v>0</v>
      </c>
      <c r="I78" s="54" t="n">
        <f aca="false">H78-G78</f>
        <v>0</v>
      </c>
    </row>
    <row r="79" customFormat="false" ht="12.75" hidden="false" customHeight="true" outlineLevel="0" collapsed="false">
      <c r="A79" s="66" t="s">
        <v>27</v>
      </c>
      <c r="B79" s="19"/>
      <c r="C79" s="39" t="n">
        <v>0</v>
      </c>
      <c r="D79" s="55" t="n">
        <v>0</v>
      </c>
      <c r="E79" s="2" t="n">
        <v>0</v>
      </c>
      <c r="F79" s="40" t="n">
        <v>0</v>
      </c>
      <c r="G79" s="39" t="n">
        <f aca="false">SUM(C79:F79)</f>
        <v>0</v>
      </c>
      <c r="H79" s="71" t="n">
        <v>0</v>
      </c>
      <c r="I79" s="54" t="n">
        <f aca="false">H79-G79</f>
        <v>0</v>
      </c>
    </row>
    <row r="80" customFormat="false" ht="12.75" hidden="false" customHeight="true" outlineLevel="0" collapsed="false">
      <c r="A80" s="66" t="s">
        <v>28</v>
      </c>
      <c r="B80" s="19"/>
      <c r="C80" s="39" t="n">
        <v>0</v>
      </c>
      <c r="D80" s="55" t="n">
        <v>0</v>
      </c>
      <c r="E80" s="2" t="n">
        <v>0</v>
      </c>
      <c r="F80" s="40" t="n">
        <v>0</v>
      </c>
      <c r="G80" s="39" t="n">
        <f aca="false">SUM(C80:F80)</f>
        <v>0</v>
      </c>
      <c r="H80" s="71" t="n">
        <v>0</v>
      </c>
      <c r="I80" s="54" t="n">
        <f aca="false">H80-G80</f>
        <v>0</v>
      </c>
    </row>
    <row r="81" customFormat="false" ht="12.75" hidden="false" customHeight="true" outlineLevel="0" collapsed="false">
      <c r="A81" s="66" t="s">
        <v>29</v>
      </c>
      <c r="B81" s="19"/>
      <c r="C81" s="39" t="n">
        <v>0</v>
      </c>
      <c r="D81" s="55" t="n">
        <v>0</v>
      </c>
      <c r="E81" s="2" t="n">
        <v>0</v>
      </c>
      <c r="F81" s="40" t="n">
        <v>0</v>
      </c>
      <c r="G81" s="39" t="n">
        <f aca="false">SUM(C81:F81)</f>
        <v>0</v>
      </c>
      <c r="H81" s="71" t="n">
        <v>0</v>
      </c>
      <c r="I81" s="54" t="n">
        <f aca="false">H81-G81</f>
        <v>0</v>
      </c>
    </row>
    <row r="82" customFormat="false" ht="12.75" hidden="false" customHeight="true" outlineLevel="0" collapsed="false">
      <c r="A82" s="66" t="s">
        <v>30</v>
      </c>
      <c r="B82" s="19"/>
      <c r="C82" s="39" t="n">
        <v>0</v>
      </c>
      <c r="D82" s="55" t="n">
        <v>0</v>
      </c>
      <c r="E82" s="2" t="n">
        <v>0</v>
      </c>
      <c r="F82" s="40" t="n">
        <v>0</v>
      </c>
      <c r="G82" s="39" t="n">
        <f aca="false">SUM(C82:F82)</f>
        <v>0</v>
      </c>
      <c r="H82" s="71" t="n">
        <v>0</v>
      </c>
      <c r="I82" s="54" t="n">
        <f aca="false">H82-G82</f>
        <v>0</v>
      </c>
    </row>
    <row r="83" customFormat="false" ht="12.75" hidden="false" customHeight="true" outlineLevel="0" collapsed="false">
      <c r="A83" s="66" t="s">
        <v>31</v>
      </c>
      <c r="B83" s="19"/>
      <c r="C83" s="39" t="n">
        <v>0</v>
      </c>
      <c r="D83" s="55" t="n">
        <v>0</v>
      </c>
      <c r="E83" s="2" t="n">
        <v>0</v>
      </c>
      <c r="F83" s="40" t="n">
        <v>0</v>
      </c>
      <c r="G83" s="39" t="n">
        <f aca="false">SUM(C83:F83)</f>
        <v>0</v>
      </c>
      <c r="H83" s="71" t="n">
        <v>0</v>
      </c>
      <c r="I83" s="54" t="n">
        <f aca="false">H83-G83</f>
        <v>0</v>
      </c>
    </row>
    <row r="84" customFormat="false" ht="12.75" hidden="false" customHeight="true" outlineLevel="0" collapsed="false">
      <c r="A84" s="66" t="s">
        <v>32</v>
      </c>
      <c r="B84" s="19"/>
      <c r="C84" s="39" t="n">
        <v>0</v>
      </c>
      <c r="D84" s="55" t="n">
        <v>0</v>
      </c>
      <c r="E84" s="2" t="n">
        <v>0</v>
      </c>
      <c r="F84" s="40" t="n">
        <v>0</v>
      </c>
      <c r="G84" s="42" t="n">
        <f aca="false">SUM(C84:F84)</f>
        <v>0</v>
      </c>
      <c r="H84" s="125" t="n">
        <v>0</v>
      </c>
      <c r="I84" s="105" t="n">
        <f aca="false">H84-G84</f>
        <v>0</v>
      </c>
    </row>
    <row r="85" customFormat="false" ht="12.75" hidden="false" customHeight="true" outlineLevel="0" collapsed="false">
      <c r="A85" s="44" t="s">
        <v>33</v>
      </c>
      <c r="B85" s="45"/>
      <c r="C85" s="46" t="n">
        <f aca="false">SUM(C71:C84)</f>
        <v>0</v>
      </c>
      <c r="D85" s="47" t="n">
        <f aca="false">SUM(D71:D84)</f>
        <v>0</v>
      </c>
      <c r="E85" s="47" t="n">
        <f aca="false">SUM(E71:E84)</f>
        <v>0</v>
      </c>
      <c r="F85" s="48" t="n">
        <f aca="false">SUM(F71:F84)</f>
        <v>0</v>
      </c>
      <c r="G85" s="106" t="n">
        <f aca="false">SUM(G71:G84)</f>
        <v>0</v>
      </c>
      <c r="H85" s="126" t="n">
        <f aca="false">SUM(H71:H84)</f>
        <v>0</v>
      </c>
      <c r="I85" s="108" t="n">
        <f aca="false">SUM(I71:I84)</f>
        <v>0</v>
      </c>
      <c r="J85" s="64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</row>
    <row r="86" customFormat="false" ht="12.75" hidden="false" customHeight="true" outlineLevel="0" collapsed="false">
      <c r="A86" s="69" t="str">
        <f aca="false">'[1]QTD Mgmt Summary'!A83</f>
        <v>Prepay Expenses</v>
      </c>
      <c r="B86" s="19"/>
      <c r="C86" s="39" t="n">
        <v>0</v>
      </c>
      <c r="D86" s="55" t="n">
        <v>0</v>
      </c>
      <c r="E86" s="2" t="n">
        <v>0</v>
      </c>
      <c r="F86" s="40" t="n">
        <v>0</v>
      </c>
      <c r="G86" s="39" t="n">
        <f aca="false">SUM(C86:F86)</f>
        <v>0</v>
      </c>
      <c r="H86" s="41" t="n">
        <v>0</v>
      </c>
      <c r="I86" s="54" t="n">
        <f aca="false">H86-G86</f>
        <v>0</v>
      </c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  <c r="IW86" s="70"/>
    </row>
    <row r="87" customFormat="false" ht="12.75" hidden="false" customHeight="true" outlineLevel="0" collapsed="false">
      <c r="A87" s="69" t="str">
        <f aca="false">'[1]QTD Mgmt Summary'!A84</f>
        <v>U.S. Drift</v>
      </c>
      <c r="B87" s="19"/>
      <c r="C87" s="35" t="n">
        <v>0</v>
      </c>
      <c r="D87" s="55" t="n">
        <v>0</v>
      </c>
      <c r="E87" s="2" t="n">
        <v>0</v>
      </c>
      <c r="F87" s="40" t="n">
        <v>0</v>
      </c>
      <c r="G87" s="39" t="n">
        <f aca="false">SUM(C87:F87)</f>
        <v>0</v>
      </c>
      <c r="H87" s="41" t="n">
        <v>0</v>
      </c>
      <c r="I87" s="54" t="n">
        <f aca="false">H87-G87</f>
        <v>0</v>
      </c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  <c r="IV87" s="70"/>
      <c r="IW87" s="70"/>
    </row>
    <row r="88" customFormat="false" ht="12.75" hidden="false" customHeight="true" outlineLevel="0" collapsed="false">
      <c r="A88" s="69" t="str">
        <f aca="false">'[1]QTD Mgmt Summary'!A85</f>
        <v>Facility Costs</v>
      </c>
      <c r="B88" s="19"/>
      <c r="C88" s="39" t="n">
        <v>0</v>
      </c>
      <c r="D88" s="55" t="n">
        <v>0</v>
      </c>
      <c r="E88" s="2" t="n">
        <v>0</v>
      </c>
      <c r="F88" s="40"/>
      <c r="G88" s="39" t="n">
        <f aca="false">SUM(C88:F88)</f>
        <v>0</v>
      </c>
      <c r="H88" s="41" t="n">
        <v>0</v>
      </c>
      <c r="I88" s="54" t="n">
        <f aca="false">H88-G88</f>
        <v>0</v>
      </c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  <c r="IV88" s="70"/>
      <c r="IW88" s="70"/>
    </row>
    <row r="89" customFormat="false" ht="12.75" hidden="false" customHeight="true" outlineLevel="0" collapsed="false">
      <c r="A89" s="69" t="str">
        <f aca="false">'[1]QTD Mgmt Summary'!A86</f>
        <v>Capital Charge Offset</v>
      </c>
      <c r="B89" s="19"/>
      <c r="C89" s="39" t="n">
        <f aca="false">-C69</f>
        <v>-99933</v>
      </c>
      <c r="D89" s="55" t="n">
        <f aca="false">-D69</f>
        <v>-70492</v>
      </c>
      <c r="E89" s="55" t="n">
        <f aca="false">-E69</f>
        <v>-48794.635</v>
      </c>
      <c r="F89" s="55" t="n">
        <f aca="false">-F69</f>
        <v>-57444</v>
      </c>
      <c r="G89" s="53" t="n">
        <f aca="false">SUM(C89:F89)</f>
        <v>-276663.635</v>
      </c>
      <c r="H89" s="71" t="n">
        <f aca="false">-H69</f>
        <v>-324322</v>
      </c>
      <c r="I89" s="54" t="n">
        <f aca="false">H89-G89</f>
        <v>-47658.365</v>
      </c>
    </row>
    <row r="90" customFormat="false" ht="12.75" hidden="false" customHeight="true" outlineLevel="0" collapsed="false">
      <c r="A90" s="44" t="s">
        <v>55</v>
      </c>
      <c r="B90" s="45"/>
      <c r="C90" s="46" t="n">
        <f aca="false">C69+C85+C86+C87+C88+C89</f>
        <v>0</v>
      </c>
      <c r="D90" s="47" t="n">
        <f aca="false">D69+D85+D86+D87+D88+D89</f>
        <v>0</v>
      </c>
      <c r="E90" s="47" t="n">
        <f aca="false">E69+E85+E86+E87+E88+E89</f>
        <v>0</v>
      </c>
      <c r="F90" s="62" t="n">
        <f aca="false">F69+F85+F86+F87+F88+F89</f>
        <v>0</v>
      </c>
      <c r="G90" s="47" t="n">
        <f aca="false">G69+G85+G86+G87+G88+G89</f>
        <v>0</v>
      </c>
      <c r="H90" s="61" t="n">
        <f aca="false">SUM(H86:H89)+H85+H69</f>
        <v>0</v>
      </c>
      <c r="I90" s="62" t="n">
        <f aca="false">G90-H90</f>
        <v>0</v>
      </c>
      <c r="J90" s="64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  <c r="HU90" s="64"/>
      <c r="HV90" s="64"/>
      <c r="HW90" s="64"/>
      <c r="HX90" s="64"/>
      <c r="HY90" s="64"/>
      <c r="HZ90" s="64"/>
      <c r="IA90" s="64"/>
      <c r="IB90" s="64"/>
      <c r="IC90" s="64"/>
      <c r="ID90" s="64"/>
      <c r="IE90" s="64"/>
      <c r="IF90" s="64"/>
      <c r="IG90" s="64"/>
      <c r="IH90" s="64"/>
      <c r="II90" s="64"/>
      <c r="IJ90" s="64"/>
      <c r="IK90" s="64"/>
      <c r="IL90" s="64"/>
      <c r="IM90" s="64"/>
      <c r="IN90" s="64"/>
      <c r="IO90" s="64"/>
      <c r="IP90" s="64"/>
      <c r="IQ90" s="64"/>
      <c r="IR90" s="64"/>
      <c r="IS90" s="64"/>
      <c r="IT90" s="64"/>
      <c r="IU90" s="64"/>
      <c r="IV90" s="64"/>
      <c r="IW90" s="64"/>
    </row>
    <row r="91" customFormat="false" ht="3" hidden="false" customHeight="true" outlineLevel="0" collapsed="false">
      <c r="A91" s="72"/>
      <c r="B91" s="73"/>
      <c r="C91" s="74"/>
      <c r="D91" s="75"/>
      <c r="E91" s="76"/>
      <c r="F91" s="77"/>
      <c r="G91" s="121"/>
      <c r="H91" s="127"/>
      <c r="I91" s="77"/>
    </row>
    <row r="92" customFormat="false" ht="13.5" hidden="false" customHeight="false" outlineLevel="0" collapsed="false">
      <c r="A92" s="66" t="s">
        <v>37</v>
      </c>
      <c r="B92" s="73"/>
      <c r="C92" s="35"/>
      <c r="D92" s="2"/>
      <c r="E92" s="2"/>
      <c r="F92" s="37"/>
      <c r="G92" s="83" t="n">
        <f aca="false">SUM(C92:F92)</f>
        <v>0</v>
      </c>
      <c r="H92" s="41" t="n">
        <v>0</v>
      </c>
      <c r="I92" s="54" t="n">
        <f aca="false">H92-G92</f>
        <v>0</v>
      </c>
      <c r="J92" s="3"/>
    </row>
    <row r="93" customFormat="false" ht="14.25" hidden="false" customHeight="false" outlineLevel="0" collapsed="false">
      <c r="A93" s="44" t="s">
        <v>38</v>
      </c>
      <c r="B93" s="128"/>
      <c r="C93" s="84" t="n">
        <f aca="false">C90+C92</f>
        <v>0</v>
      </c>
      <c r="D93" s="85" t="n">
        <f aca="false">D90+D92</f>
        <v>0</v>
      </c>
      <c r="E93" s="85" t="n">
        <f aca="false">E90+E92</f>
        <v>0</v>
      </c>
      <c r="F93" s="86" t="n">
        <f aca="false">F90+F92</f>
        <v>0</v>
      </c>
      <c r="G93" s="122" t="n">
        <f aca="false">G90+G92</f>
        <v>0</v>
      </c>
      <c r="H93" s="88" t="n">
        <f aca="false">H90+H92</f>
        <v>0</v>
      </c>
      <c r="I93" s="89" t="n">
        <f aca="false">I90+I92</f>
        <v>0</v>
      </c>
      <c r="J93" s="3"/>
    </row>
    <row r="96" customFormat="false" ht="12.75" hidden="false" customHeight="false" outlineLevel="0" collapsed="false">
      <c r="A96" s="1" t="s">
        <v>39</v>
      </c>
    </row>
  </sheetData>
  <mergeCells count="7">
    <mergeCell ref="A2:I2"/>
    <mergeCell ref="A3:I3"/>
    <mergeCell ref="A4:I4"/>
    <mergeCell ref="A5:I5"/>
    <mergeCell ref="A7:A8"/>
    <mergeCell ref="C7:F8"/>
    <mergeCell ref="G7:I8"/>
  </mergeCells>
  <printOptions headings="false" gridLines="false" gridLinesSet="true" horizontalCentered="true" verticalCentered="false"/>
  <pageMargins left="0.25" right="0.25" top="0.2" bottom="0.179861111111111" header="0.511811023622047" footer="0.179861111111111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&amp;L&amp;D&amp;T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0.85"/>
  </cols>
  <sheetData>
    <row r="1" customFormat="false" ht="15.75" hidden="false" customHeight="true" outlineLevel="0" collapsed="false">
      <c r="A1" s="12" t="s">
        <v>56</v>
      </c>
      <c r="B1" s="12"/>
      <c r="C1" s="12"/>
      <c r="D1" s="12"/>
      <c r="E1" s="12"/>
      <c r="F1" s="12"/>
      <c r="G1" s="12"/>
      <c r="H1" s="12"/>
      <c r="I1" s="12"/>
      <c r="J1" s="94"/>
      <c r="K1" s="94"/>
      <c r="L1" s="94"/>
      <c r="M1" s="94"/>
      <c r="N1" s="94"/>
      <c r="P1" s="97"/>
    </row>
    <row r="2" customFormat="false" ht="15.75" hidden="false" customHeight="true" outlineLevel="0" collapsed="false">
      <c r="A2" s="12" t="s">
        <v>2</v>
      </c>
      <c r="B2" s="12"/>
      <c r="C2" s="12"/>
      <c r="D2" s="12"/>
      <c r="E2" s="12"/>
      <c r="F2" s="12"/>
      <c r="G2" s="12"/>
      <c r="H2" s="12"/>
      <c r="I2" s="12"/>
      <c r="J2" s="94"/>
      <c r="K2" s="94"/>
      <c r="L2" s="94"/>
      <c r="M2" s="94"/>
      <c r="N2" s="94"/>
      <c r="P2" s="97"/>
    </row>
    <row r="4" customFormat="false" ht="12.75" hidden="false" customHeight="false" outlineLevel="0" collapsed="false">
      <c r="B4" s="129" t="s">
        <v>57</v>
      </c>
    </row>
    <row r="6" customFormat="false" ht="12.75" hidden="false" customHeight="false" outlineLevel="0" collapsed="false">
      <c r="B6" s="129" t="s">
        <v>58</v>
      </c>
    </row>
    <row r="8" customFormat="false" ht="12.75" hidden="false" customHeight="false" outlineLevel="0" collapsed="false">
      <c r="B8" s="129" t="s">
        <v>59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2001-08-17T12:25:20Z</dcterms:created>
  <dc:creator>mday</dc:creator>
  <dc:description/>
  <dc:language>en-US</dc:language>
  <cp:lastModifiedBy>mday</cp:lastModifiedBy>
  <cp:lastPrinted>2001-10-10T15:04:29Z</cp:lastPrinted>
  <dcterms:modified xsi:type="dcterms:W3CDTF">2001-10-10T15:05:29Z</dcterms:modified>
  <cp:revision>0</cp:revision>
  <dc:subject/>
  <dc:title/>
</cp:coreProperties>
</file>