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Annex 1.02" sheetId="2" state="visible" r:id="rId4"/>
    <sheet name="Contingent" sheetId="3" state="visible" r:id="rId5"/>
    <sheet name="Quarterly" sheetId="4" state="visible" r:id="rId6"/>
    <sheet name="Expenses" sheetId="5" state="visible" r:id="rId7"/>
  </sheets>
  <definedNames>
    <definedName function="false" hidden="false" localSheetId="2" name="_xlnm.Print_Area" vbProcedure="false">Contingent!$A$1:$R$44</definedName>
    <definedName function="false" hidden="false" localSheetId="3" name="_xlnm.Print_Area" vbProcedure="false">Quarterly!$A$1:$Q$14</definedName>
    <definedName function="false" hidden="false" localSheetId="3" name="solver_adj" vbProcedure="false">Quarterly!$E$11</definedName>
    <definedName function="false" hidden="false" localSheetId="3" name="solver_cvg" vbProcedure="false">0.001</definedName>
    <definedName function="false" hidden="false" localSheetId="3" name="solver_drv" vbProcedure="false">1</definedName>
    <definedName function="false" hidden="false" localSheetId="3" name="solver_est" vbProcedure="false">1</definedName>
    <definedName function="false" hidden="false" localSheetId="3" name="solver_itr" vbProcedure="false">100</definedName>
    <definedName function="false" hidden="false" localSheetId="3" name="solver_lin" vbProcedure="false">2</definedName>
    <definedName function="false" hidden="false" localSheetId="3" name="solver_neg" vbProcedure="false">2</definedName>
    <definedName function="false" hidden="false" localSheetId="3" name="solver_num" vbProcedure="false">0</definedName>
    <definedName function="false" hidden="false" localSheetId="3" name="solver_nwt" vbProcedure="false">1</definedName>
    <definedName function="false" hidden="false" localSheetId="3" name="solver_opt" vbProcedure="false">Quarterly!$AE$16</definedName>
    <definedName function="false" hidden="false" localSheetId="3" name="solver_pre" vbProcedure="false">0.000001</definedName>
    <definedName function="false" hidden="false" localSheetId="3" name="solver_scl" vbProcedure="false">2</definedName>
    <definedName function="false" hidden="false" localSheetId="3" name="solver_sho" vbProcedure="false">2</definedName>
    <definedName function="false" hidden="false" localSheetId="3" name="solver_tim" vbProcedure="false">100</definedName>
    <definedName function="false" hidden="false" localSheetId="3" name="solver_tol" vbProcedure="false">0.05</definedName>
    <definedName function="false" hidden="false" localSheetId="3" name="solver_typ" vbProcedure="false">3</definedName>
    <definedName function="false" hidden="false" localSheetId="3" name="solver_val" vbProcedure="false">0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<sst xmlns="http://schemas.openxmlformats.org/spreadsheetml/2006/main" count="141" uniqueCount="118">
  <si>
    <t xml:space="preserve">El Paso Offer Analysis</t>
  </si>
  <si>
    <t xml:space="preserve">($000's except where noted)</t>
  </si>
  <si>
    <t xml:space="preserve">Inputs</t>
  </si>
  <si>
    <t xml:space="preserve">Sensitivity Analysis - 7 years</t>
  </si>
  <si>
    <t xml:space="preserve">Deferred Payment Discount Rate</t>
  </si>
  <si>
    <t xml:space="preserve">Discount Rate</t>
  </si>
  <si>
    <t xml:space="preserve">Proceeds</t>
  </si>
  <si>
    <t xml:space="preserve">P&amp;L</t>
  </si>
  <si>
    <t xml:space="preserve">Issue Date</t>
  </si>
  <si>
    <t xml:space="preserve">Enron Profit (Loss) (c)</t>
  </si>
  <si>
    <t xml:space="preserve">Contingent Payment Discount Rate</t>
  </si>
  <si>
    <t xml:space="preserve">Expenses as a % of Total Offering</t>
  </si>
  <si>
    <t xml:space="preserve">10bps</t>
  </si>
  <si>
    <t xml:space="preserve">Placement Fee as a % of Total Offering</t>
  </si>
  <si>
    <t xml:space="preserve">JEDI II Placement Advisory Fee</t>
  </si>
  <si>
    <t xml:space="preserve">JEDI II M&amp;A Advisory fee</t>
  </si>
  <si>
    <t xml:space="preserve">Offering Price Analysis</t>
  </si>
  <si>
    <t xml:space="preserve">JEDI II Carrying Value</t>
  </si>
  <si>
    <t xml:space="preserve">Subordinated Note Carrying Value</t>
  </si>
  <si>
    <t xml:space="preserve">Offering Proceeds</t>
  </si>
  <si>
    <t xml:space="preserve">Initial Deferred Payment (7 years - 27 payments)</t>
  </si>
  <si>
    <t xml:space="preserve">Implied Coupon</t>
  </si>
  <si>
    <t xml:space="preserve">Initial Premium ($/MMBtu)</t>
  </si>
  <si>
    <t xml:space="preserve">Notional Volume (MMBtu/d)</t>
  </si>
  <si>
    <t xml:space="preserve">Contingent Payment $/kw (Linden Only - 678MW)</t>
  </si>
  <si>
    <t xml:space="preserve">2001 Contingent Payment</t>
  </si>
  <si>
    <t xml:space="preserve">Transaction Analysis</t>
  </si>
  <si>
    <t xml:space="preserve">JEDI II</t>
  </si>
  <si>
    <t xml:space="preserve">SubNotes</t>
  </si>
  <si>
    <t xml:space="preserve">Total</t>
  </si>
  <si>
    <t xml:space="preserve">Swap #1</t>
  </si>
  <si>
    <t xml:space="preserve">Swap #2</t>
  </si>
  <si>
    <t xml:space="preserve">Deferred Payments</t>
  </si>
  <si>
    <t xml:space="preserve">JEDI II Equity</t>
  </si>
  <si>
    <t xml:space="preserve">ENA Sub Note</t>
  </si>
  <si>
    <t xml:space="preserve">Net to Enron</t>
  </si>
  <si>
    <t xml:space="preserve">Gross Proceeds (a)</t>
  </si>
  <si>
    <t xml:space="preserve">Gross Proceeds</t>
  </si>
  <si>
    <t xml:space="preserve">JEDI II Accrued Interest thru 15-Dec</t>
  </si>
  <si>
    <t xml:space="preserve">Fees</t>
  </si>
  <si>
    <t xml:space="preserve">Accrued Interest</t>
  </si>
  <si>
    <t xml:space="preserve">Allocation of Gross Proceeds</t>
  </si>
  <si>
    <t xml:space="preserve">Net Proceeds</t>
  </si>
  <si>
    <t xml:space="preserve">Percentage</t>
  </si>
  <si>
    <t xml:space="preserve">Contingent Payment</t>
  </si>
  <si>
    <t xml:space="preserve">EPG Accrued Interest thru 15-Dec (b)</t>
  </si>
  <si>
    <t xml:space="preserve">Total Proceeds</t>
  </si>
  <si>
    <t xml:space="preserve">Placement Fees</t>
  </si>
  <si>
    <t xml:space="preserve">Fair Value</t>
  </si>
  <si>
    <t xml:space="preserve">Placement Advisory Fee</t>
  </si>
  <si>
    <t xml:space="preserve">M&amp;A Advisory Fee</t>
  </si>
  <si>
    <t xml:space="preserve">Expenses</t>
  </si>
  <si>
    <t xml:space="preserve">Contingent Payments</t>
  </si>
  <si>
    <t xml:space="preserve">Probability Adjusted</t>
  </si>
  <si>
    <t xml:space="preserve">no</t>
  </si>
  <si>
    <t xml:space="preserve">Transaction Value</t>
  </si>
  <si>
    <t xml:space="preserve">Enron</t>
  </si>
  <si>
    <t xml:space="preserve">50% JEDI II</t>
  </si>
  <si>
    <t xml:space="preserve">Carrying Value</t>
  </si>
  <si>
    <t xml:space="preserve">Placement Advisory Fee Income</t>
  </si>
  <si>
    <t xml:space="preserve">M&amp;A Advisory Fee Income</t>
  </si>
  <si>
    <t xml:space="preserve">Profit (Loss) (c)</t>
  </si>
  <si>
    <t xml:space="preserve">(a)  Proceeds to be prorated to reflect JEDI II share of accrued interest on SubNotes through closing.</t>
  </si>
  <si>
    <t xml:space="preserve">(b)  To be paid in cash by Mesquite at closing.</t>
  </si>
  <si>
    <t xml:space="preserve">(c)  Includes interest income on the SubNotes for the period through closing (assumed to be 15-Dec-00 or $3,521).</t>
  </si>
  <si>
    <t xml:space="preserve">Payment</t>
  </si>
  <si>
    <t xml:space="preserve">ENA</t>
  </si>
  <si>
    <t xml:space="preserve">ECPH</t>
  </si>
  <si>
    <t xml:space="preserve">Period</t>
  </si>
  <si>
    <t xml:space="preserve">Number</t>
  </si>
  <si>
    <t xml:space="preserve">Begin</t>
  </si>
  <si>
    <t xml:space="preserve">End</t>
  </si>
  <si>
    <t xml:space="preserve">Date</t>
  </si>
  <si>
    <t xml:space="preserve">Premium</t>
  </si>
  <si>
    <t xml:space="preserve">Volume</t>
  </si>
  <si>
    <t xml:space="preserve">MMBtu/d</t>
  </si>
  <si>
    <t xml:space="preserve">Totals</t>
  </si>
  <si>
    <t xml:space="preserve">If restructuring of Linden occurs:</t>
  </si>
  <si>
    <t xml:space="preserve">After</t>
  </si>
  <si>
    <t xml:space="preserve">On or Before</t>
  </si>
  <si>
    <t xml:space="preserve">Closing</t>
  </si>
  <si>
    <t xml:space="preserve">Thereafter</t>
  </si>
  <si>
    <t xml:space="preserve">Annual Proposal</t>
  </si>
  <si>
    <t xml:space="preserve">Payment Dates</t>
  </si>
  <si>
    <t xml:space="preserve">Payment Escalator</t>
  </si>
  <si>
    <t xml:space="preserve">PV</t>
  </si>
  <si>
    <t xml:space="preserve">Scheduled Payments</t>
  </si>
  <si>
    <t xml:space="preserve">New Contingent Payment Dates</t>
  </si>
  <si>
    <t xml:space="preserve">Available Restructuring MW's</t>
  </si>
  <si>
    <t xml:space="preserve">Linden</t>
  </si>
  <si>
    <t xml:space="preserve">Bayonne</t>
  </si>
  <si>
    <t xml:space="preserve">Camden</t>
  </si>
  <si>
    <t xml:space="preserve">Restructuring Payment $/kw</t>
  </si>
  <si>
    <t xml:space="preserve">New Contingent Payments</t>
  </si>
  <si>
    <t xml:space="preserve">Total Offer Value</t>
  </si>
  <si>
    <t xml:space="preserve">Probability</t>
  </si>
  <si>
    <t xml:space="preserve">Probablilty Adjusted</t>
  </si>
  <si>
    <t xml:space="preserve">9/25/2000</t>
  </si>
  <si>
    <t xml:space="preserve">Exercie Price Computation</t>
  </si>
  <si>
    <t xml:space="preserve">Implied Exercise Price Immediately</t>
  </si>
  <si>
    <t xml:space="preserve">Following Payment</t>
  </si>
  <si>
    <t xml:space="preserve">Quarterly Deferred Payment Proposal</t>
  </si>
  <si>
    <t xml:space="preserve">Deferred Payment Schedule</t>
  </si>
  <si>
    <t xml:space="preserve">Payments</t>
  </si>
  <si>
    <t xml:space="preserve">XNPV</t>
  </si>
  <si>
    <t xml:space="preserve">7 year</t>
  </si>
  <si>
    <t xml:space="preserve">Coupon</t>
  </si>
  <si>
    <t xml:space="preserve">Beginning Principal Balance</t>
  </si>
  <si>
    <t xml:space="preserve">Interest</t>
  </si>
  <si>
    <t xml:space="preserve">Principal</t>
  </si>
  <si>
    <t xml:space="preserve">Ending Principal Balance</t>
  </si>
  <si>
    <t xml:space="preserve">XIRR</t>
  </si>
  <si>
    <t xml:space="preserve">Current</t>
  </si>
  <si>
    <t xml:space="preserve">144A (a)</t>
  </si>
  <si>
    <t xml:space="preserve">Difference</t>
  </si>
  <si>
    <t xml:space="preserve">Placement fees</t>
  </si>
  <si>
    <t xml:space="preserve">Out of pockets</t>
  </si>
  <si>
    <t xml:space="preserve">(a)  Includes the higher volume for full SubNote monetization ($187.9mm).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</si>
</sst>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d\-mmm"/>
    <numFmt numFmtId="166" formatCode="0%"/>
    <numFmt numFmtId="167" formatCode="0.000%"/>
    <numFmt numFmtId="168" formatCode="0.00%"/>
    <numFmt numFmtId="169" formatCode="[$-409]d\-mmm\-yy"/>
    <numFmt numFmtId="170" formatCode="_(* #,##0.00_);_(* \(#,##0.00\);_(* \-??_);_(@_)"/>
    <numFmt numFmtId="171" formatCode="_(* #,##0_);_(* \(#,##0\);_(* \-??_);_(@_)"/>
    <numFmt numFmtId="172" formatCode="_(\$* #,##0.00_);_(\$* \(#,##0.00\);_(\$* \-??_);_(@_)"/>
    <numFmt numFmtId="173" formatCode="_(\$* #,##0_);_(\$* \(#,##0\);_(\$* \-??_);_(@_)"/>
    <numFmt numFmtId="174" formatCode="_(* #,##0.0000_);_(* \(#,##0.0000\);_(* \-??_);_(@_)"/>
    <numFmt numFmtId="175" formatCode="0"/>
    <numFmt numFmtId="176" formatCode="_(* #,##0_);_(* \(#,##0\);_(* \-_);_(@_)"/>
    <numFmt numFmtId="177" formatCode="_(* #,##0.0000_);_(* \(#,##0.0000\);_(* \-_);_(@_)"/>
    <numFmt numFmtId="178" formatCode="[$-409]m/d/yyyy"/>
    <numFmt numFmtId="179" formatCode="0.0000%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 val="true"/>
      <u val="single"/>
      <sz val="10"/>
      <name val="Arial"/>
      <family val="2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Arial"/>
      <family val="0"/>
    </font>
    <font>
      <b val="true"/>
      <u val="single"/>
      <sz val="10"/>
      <name val="Times New Roman"/>
      <family val="1"/>
    </font>
    <font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" fillId="0" borderId="6" xfId="1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3.7"/>
    <col collapsed="false" customWidth="true" hidden="false" outlineLevel="0" max="6" min="4" style="0" width="11.28"/>
    <col collapsed="false" customWidth="true" hidden="false" outlineLevel="0" max="9" min="7" style="0" width="14.7"/>
    <col collapsed="false" customWidth="true" hidden="false" outlineLevel="0" max="11" min="10" style="0" width="5.28"/>
    <col collapsed="false" customWidth="true" hidden="false" outlineLevel="0" max="12" min="12" style="0" width="13.41"/>
    <col collapsed="false" customWidth="true" hidden="false" outlineLevel="0" max="18" min="13" style="0" width="9.56"/>
    <col collapsed="false" customWidth="true" hidden="false" outlineLevel="0" max="21" min="21" style="0" width="14.41"/>
    <col collapsed="false" customWidth="true" hidden="false" outlineLevel="0" max="22" min="22" style="0" width="11.28"/>
    <col collapsed="false" customWidth="true" hidden="false" outlineLevel="0" max="23" min="23" style="0" width="10.71"/>
  </cols>
  <sheetData>
    <row r="1" customFormat="false" ht="30" hidden="false" customHeight="false" outlineLevel="0" collapsed="false">
      <c r="A1" s="1" t="s">
        <v>0</v>
      </c>
    </row>
    <row r="2" customFormat="false" ht="18" hidden="false" customHeight="true" outlineLevel="0" collapsed="false">
      <c r="A2" s="2" t="s">
        <v>1</v>
      </c>
      <c r="G2" s="3"/>
    </row>
    <row r="3" customFormat="false" ht="18" hidden="false" customHeight="true" outlineLevel="0" collapsed="false">
      <c r="A3" s="1"/>
    </row>
    <row r="4" customFormat="false" ht="12.75" hidden="false" customHeight="false" outlineLevel="0" collapsed="false">
      <c r="A4" s="4" t="s">
        <v>2</v>
      </c>
      <c r="B4" s="5"/>
      <c r="C4" s="5"/>
      <c r="D4" s="5"/>
      <c r="E4" s="5"/>
      <c r="F4" s="5"/>
      <c r="G4" s="5"/>
      <c r="I4" s="6" t="s">
        <v>3</v>
      </c>
    </row>
    <row r="5" customFormat="false" ht="12.75" hidden="false" customHeight="false" outlineLevel="0" collapsed="false">
      <c r="A5" s="7" t="s">
        <v>4</v>
      </c>
      <c r="B5" s="8"/>
      <c r="C5" s="8"/>
      <c r="D5" s="8"/>
      <c r="E5" s="8"/>
      <c r="F5" s="8"/>
      <c r="G5" s="9" t="n">
        <v>0.085</v>
      </c>
      <c r="I5" s="7" t="s">
        <v>5</v>
      </c>
      <c r="J5" s="8"/>
      <c r="K5" s="8"/>
      <c r="L5" s="10" t="n">
        <v>0.08</v>
      </c>
      <c r="M5" s="11" t="n">
        <v>0.0825</v>
      </c>
      <c r="N5" s="11" t="n">
        <v>0.085</v>
      </c>
      <c r="O5" s="11" t="n">
        <v>0.0875</v>
      </c>
      <c r="P5" s="11" t="n">
        <v>0.09</v>
      </c>
      <c r="Q5" s="11" t="n">
        <v>0.0925</v>
      </c>
      <c r="R5" s="12" t="n">
        <v>0.095</v>
      </c>
      <c r="U5" s="13" t="s">
        <v>5</v>
      </c>
      <c r="V5" s="13" t="s">
        <v>6</v>
      </c>
      <c r="W5" s="13" t="s">
        <v>7</v>
      </c>
    </row>
    <row r="6" customFormat="false" ht="12.75" hidden="false" customHeight="false" outlineLevel="0" collapsed="false">
      <c r="A6" s="14" t="s">
        <v>8</v>
      </c>
      <c r="G6" s="15" t="n">
        <v>36891</v>
      </c>
      <c r="I6" s="16" t="s">
        <v>9</v>
      </c>
      <c r="J6" s="17"/>
      <c r="K6" s="18" t="n">
        <f aca="false">+I52</f>
        <v>8256.14830667795</v>
      </c>
      <c r="L6" s="19" t="n">
        <f aca="true">TABLE($K6,$G$5,L$5)</f>
        <v>11188.4921555603</v>
      </c>
      <c r="M6" s="19" t="n">
        <f aca="true">TABLE($K6,$G$5,M$5)</f>
        <v>9712.5823675878</v>
      </c>
      <c r="N6" s="19" t="n">
        <f aca="true">TABLE($K6,$G$5,N$5)</f>
        <v>8256.14830667795</v>
      </c>
      <c r="O6" s="19" t="n">
        <f aca="true">TABLE($K6,$G$5,O$5)</f>
        <v>6818.86622336336</v>
      </c>
      <c r="P6" s="19" t="n">
        <f aca="true">TABLE($K6,$G$5,P$5)</f>
        <v>5400.41870261911</v>
      </c>
      <c r="Q6" s="19" t="n">
        <f aca="true">TABLE($K6,$G$5,Q$5)</f>
        <v>4000.49452282771</v>
      </c>
      <c r="R6" s="20" t="n">
        <f aca="true">TABLE($K6,$G$5,R$5)</f>
        <v>2618.78851824303</v>
      </c>
      <c r="U6" s="21" t="n">
        <f aca="false" t="array" ref="U6:U12">TRANSPOSE(L5:R5)</f>
        <v>0.08</v>
      </c>
      <c r="V6" s="22" t="n">
        <f aca="false" t="array" ref="V6:V12">TRANSPOSE(L13:R13)</f>
        <v>353515.090635035</v>
      </c>
      <c r="W6" s="23" t="n">
        <f aca="false" t="array" ref="W6:W12">TRANSPOSE(L6:R6)</f>
        <v>11188.4921555603</v>
      </c>
    </row>
    <row r="7" customFormat="false" ht="12.75" hidden="false" customHeight="false" outlineLevel="0" collapsed="false">
      <c r="A7" s="14" t="s">
        <v>10</v>
      </c>
      <c r="B7" s="5"/>
      <c r="C7" s="5"/>
      <c r="D7" s="5"/>
      <c r="E7" s="5"/>
      <c r="F7" s="5"/>
      <c r="G7" s="24" t="n">
        <v>0.116</v>
      </c>
      <c r="L7" s="25"/>
      <c r="M7" s="25"/>
      <c r="N7" s="25"/>
      <c r="O7" s="25"/>
      <c r="P7" s="25"/>
      <c r="Q7" s="25"/>
      <c r="R7" s="25"/>
      <c r="U7" s="21" t="n">
        <v>0.0825</v>
      </c>
      <c r="V7" s="22" t="n">
        <v>350557.7260004</v>
      </c>
      <c r="W7" s="23" t="n">
        <v>9712.5823675878</v>
      </c>
    </row>
    <row r="8" customFormat="false" ht="12.75" hidden="false" customHeight="false" outlineLevel="0" collapsed="false">
      <c r="A8" s="14" t="s">
        <v>11</v>
      </c>
      <c r="B8" s="5"/>
      <c r="C8" s="5"/>
      <c r="D8" s="5"/>
      <c r="E8" s="5"/>
      <c r="F8" s="5"/>
      <c r="G8" s="24" t="n">
        <v>0.001875</v>
      </c>
      <c r="I8" s="0" t="s">
        <v>12</v>
      </c>
      <c r="M8" s="26"/>
      <c r="N8" s="26"/>
      <c r="O8" s="26"/>
      <c r="P8" s="26"/>
      <c r="Q8" s="26"/>
      <c r="R8" s="26"/>
      <c r="U8" s="21" t="n">
        <v>0.085</v>
      </c>
      <c r="V8" s="22" t="n">
        <v>347639.385991063</v>
      </c>
      <c r="W8" s="23" t="n">
        <v>8256.14830667795</v>
      </c>
    </row>
    <row r="9" customFormat="false" ht="12.75" hidden="false" customHeight="false" outlineLevel="0" collapsed="false">
      <c r="A9" s="14" t="s">
        <v>13</v>
      </c>
      <c r="B9" s="5"/>
      <c r="C9" s="5"/>
      <c r="D9" s="5"/>
      <c r="E9" s="5"/>
      <c r="F9" s="5"/>
      <c r="G9" s="24" t="n">
        <v>0.006</v>
      </c>
      <c r="U9" s="21" t="n">
        <v>0.0875</v>
      </c>
      <c r="V9" s="22" t="n">
        <v>344759.421891748</v>
      </c>
      <c r="W9" s="23" t="n">
        <v>6818.86622336336</v>
      </c>
    </row>
    <row r="10" customFormat="false" ht="12.75" hidden="false" customHeight="false" outlineLevel="0" collapsed="false">
      <c r="A10" s="14" t="s">
        <v>14</v>
      </c>
      <c r="B10" s="5"/>
      <c r="C10" s="5"/>
      <c r="D10" s="5"/>
      <c r="E10" s="5"/>
      <c r="F10" s="5"/>
      <c r="G10" s="24" t="n">
        <v>0.006</v>
      </c>
      <c r="U10" s="21" t="n">
        <v>0.09</v>
      </c>
      <c r="V10" s="22" t="n">
        <v>341917.197679862</v>
      </c>
      <c r="W10" s="23" t="n">
        <v>5400.41870261911</v>
      </c>
    </row>
    <row r="11" customFormat="false" ht="12.75" hidden="false" customHeight="false" outlineLevel="0" collapsed="false">
      <c r="A11" s="14" t="s">
        <v>15</v>
      </c>
      <c r="B11" s="5"/>
      <c r="C11" s="5"/>
      <c r="D11" s="5"/>
      <c r="E11" s="5"/>
      <c r="F11" s="5"/>
      <c r="G11" s="27" t="n">
        <v>3000</v>
      </c>
      <c r="I11" s="6" t="s">
        <v>16</v>
      </c>
      <c r="J11" s="5"/>
      <c r="K11" s="5"/>
      <c r="L11" s="28"/>
      <c r="M11" s="29"/>
      <c r="N11" s="29"/>
      <c r="O11" s="29"/>
      <c r="P11" s="29"/>
      <c r="Q11" s="29"/>
      <c r="U11" s="21" t="n">
        <v>0.0925</v>
      </c>
      <c r="V11" s="22" t="n">
        <v>339112.089742898</v>
      </c>
      <c r="W11" s="23" t="n">
        <v>4000.49452282771</v>
      </c>
    </row>
    <row r="12" customFormat="false" ht="12.75" hidden="false" customHeight="false" outlineLevel="0" collapsed="false">
      <c r="A12" s="14" t="s">
        <v>17</v>
      </c>
      <c r="B12" s="5"/>
      <c r="C12" s="5"/>
      <c r="D12" s="5"/>
      <c r="E12" s="5"/>
      <c r="F12" s="5"/>
      <c r="G12" s="27" t="n">
        <v>202212</v>
      </c>
      <c r="I12" s="7" t="s">
        <v>5</v>
      </c>
      <c r="J12" s="8"/>
      <c r="K12" s="30"/>
      <c r="L12" s="10" t="n">
        <f aca="false">+L5</f>
        <v>0.08</v>
      </c>
      <c r="M12" s="10" t="n">
        <f aca="false">+M5</f>
        <v>0.0825</v>
      </c>
      <c r="N12" s="10" t="n">
        <f aca="false">+N5</f>
        <v>0.085</v>
      </c>
      <c r="O12" s="10" t="n">
        <f aca="false">+O5</f>
        <v>0.0875</v>
      </c>
      <c r="P12" s="10" t="n">
        <f aca="false">+P5</f>
        <v>0.09</v>
      </c>
      <c r="Q12" s="10" t="n">
        <f aca="false">+Q5</f>
        <v>0.0925</v>
      </c>
      <c r="R12" s="31" t="n">
        <f aca="false">+R5</f>
        <v>0.095</v>
      </c>
      <c r="U12" s="21" t="n">
        <v>0.095</v>
      </c>
      <c r="V12" s="22" t="n">
        <v>336343.486602841</v>
      </c>
      <c r="W12" s="23" t="n">
        <v>2618.78851824303</v>
      </c>
    </row>
    <row r="13" customFormat="false" ht="12.75" hidden="false" customHeight="false" outlineLevel="0" collapsed="false">
      <c r="A13" s="14" t="s">
        <v>18</v>
      </c>
      <c r="B13" s="5"/>
      <c r="C13" s="5"/>
      <c r="D13" s="5"/>
      <c r="E13" s="5"/>
      <c r="F13" s="5"/>
      <c r="G13" s="27" t="n">
        <v>157900</v>
      </c>
      <c r="I13" s="14" t="s">
        <v>19</v>
      </c>
      <c r="J13" s="5"/>
      <c r="K13" s="32" t="n">
        <f aca="false">+I24</f>
        <v>347639.385991063</v>
      </c>
      <c r="L13" s="26" t="n">
        <f aca="true">TABLE($K13,$G$5,L$12)</f>
        <v>353515.090635035</v>
      </c>
      <c r="M13" s="26" t="n">
        <f aca="true">TABLE($K13,$G$5,M$12)</f>
        <v>350557.7260004</v>
      </c>
      <c r="N13" s="26" t="n">
        <f aca="true">TABLE($K13,$G$5,N$12)</f>
        <v>347639.385991063</v>
      </c>
      <c r="O13" s="26" t="n">
        <f aca="true">TABLE($K13,$G$5,O$12)</f>
        <v>344759.421891748</v>
      </c>
      <c r="P13" s="26" t="n">
        <f aca="true">TABLE($K13,$G$5,P$12)</f>
        <v>341917.197679862</v>
      </c>
      <c r="Q13" s="26" t="n">
        <f aca="true">TABLE($K13,$G$5,Q$12)</f>
        <v>339112.089742898</v>
      </c>
      <c r="R13" s="33" t="n">
        <f aca="true">TABLE($K13,$G$5,R$12)</f>
        <v>336343.486602841</v>
      </c>
    </row>
    <row r="14" customFormat="false" ht="12.75" hidden="false" customHeight="false" outlineLevel="0" collapsed="false">
      <c r="A14" s="14" t="s">
        <v>20</v>
      </c>
      <c r="B14" s="5"/>
      <c r="C14" s="5"/>
      <c r="D14" s="5"/>
      <c r="E14" s="5"/>
      <c r="F14" s="5"/>
      <c r="G14" s="27" t="n">
        <v>14225.8620604199</v>
      </c>
      <c r="I14" s="16" t="s">
        <v>21</v>
      </c>
      <c r="J14" s="17"/>
      <c r="K14" s="17"/>
      <c r="L14" s="34" t="n">
        <f aca="false">LOOKUP(L12,Quarterly!$D$22:$E$28)</f>
        <v>0.0777620296939473</v>
      </c>
      <c r="M14" s="34" t="n">
        <f aca="false">LOOKUP(M12,Quarterly!$D$22:$E$28)</f>
        <v>0.0801233349981538</v>
      </c>
      <c r="N14" s="34" t="n">
        <f aca="false">LOOKUP(N12,Quarterly!$D$22:$E$28)</f>
        <v>0.0824806721277564</v>
      </c>
      <c r="O14" s="34" t="n">
        <f aca="false">LOOKUP(O12,Quarterly!$D$22:$E$28)</f>
        <v>0.0848340576931075</v>
      </c>
      <c r="P14" s="34" t="n">
        <f aca="false">LOOKUP(P12,Quarterly!$D$22:$E$28)</f>
        <v>0.0871835082027364</v>
      </c>
      <c r="Q14" s="34" t="n">
        <f aca="false">LOOKUP(Q12,Quarterly!$D$22:$E$28)</f>
        <v>0.0895290400641726</v>
      </c>
      <c r="R14" s="35" t="n">
        <f aca="false">LOOKUP(R12,Quarterly!$D$22:$E$28)</f>
        <v>0.0918706695849129</v>
      </c>
    </row>
    <row r="15" customFormat="false" ht="12.75" hidden="false" customHeight="false" outlineLevel="0" collapsed="false">
      <c r="A15" s="14"/>
      <c r="B15" s="5" t="s">
        <v>22</v>
      </c>
      <c r="C15" s="5"/>
      <c r="D15" s="5"/>
      <c r="E15" s="5"/>
      <c r="F15" s="5"/>
      <c r="G15" s="36" t="n">
        <f aca="false">+'Annex 1.02'!E8</f>
        <v>0.52688378001555</v>
      </c>
      <c r="I15" s="5"/>
      <c r="J15" s="5"/>
      <c r="K15" s="5"/>
      <c r="L15" s="37"/>
      <c r="M15" s="37"/>
      <c r="N15" s="37"/>
      <c r="O15" s="37"/>
      <c r="P15" s="37"/>
      <c r="Q15" s="37"/>
      <c r="R15" s="37"/>
    </row>
    <row r="16" customFormat="false" ht="12.75" hidden="false" customHeight="false" outlineLevel="0" collapsed="false">
      <c r="A16" s="14" t="s">
        <v>23</v>
      </c>
      <c r="B16" s="5"/>
      <c r="C16" s="5"/>
      <c r="D16" s="5"/>
      <c r="E16" s="5"/>
      <c r="F16" s="5"/>
      <c r="G16" s="27" t="n">
        <v>300000</v>
      </c>
      <c r="I16" s="5"/>
      <c r="J16" s="5"/>
      <c r="K16" s="5"/>
      <c r="L16" s="37"/>
      <c r="M16" s="37"/>
      <c r="N16" s="37"/>
      <c r="O16" s="37"/>
      <c r="P16" s="37"/>
      <c r="Q16" s="37"/>
      <c r="R16" s="37"/>
    </row>
    <row r="17" customFormat="false" ht="12.75" hidden="false" customHeight="false" outlineLevel="0" collapsed="false">
      <c r="A17" s="14" t="s">
        <v>24</v>
      </c>
      <c r="B17" s="5"/>
      <c r="C17" s="5"/>
      <c r="D17" s="5"/>
      <c r="E17" s="5"/>
      <c r="F17" s="5"/>
      <c r="G17" s="38" t="n">
        <v>38.5</v>
      </c>
      <c r="I17" s="5"/>
      <c r="J17" s="5"/>
      <c r="K17" s="5"/>
      <c r="L17" s="26"/>
      <c r="M17" s="26"/>
      <c r="N17" s="26"/>
      <c r="O17" s="26"/>
      <c r="P17" s="26"/>
      <c r="Q17" s="26"/>
      <c r="R17" s="39"/>
    </row>
    <row r="18" customFormat="false" ht="12.75" hidden="false" customHeight="false" outlineLevel="0" collapsed="false">
      <c r="A18" s="16" t="s">
        <v>25</v>
      </c>
      <c r="B18" s="17"/>
      <c r="C18" s="17"/>
      <c r="D18" s="17"/>
      <c r="E18" s="17"/>
      <c r="F18" s="17"/>
      <c r="G18" s="40" t="n">
        <f aca="false">+Contingent!F32</f>
        <v>26103</v>
      </c>
      <c r="I18" s="5"/>
      <c r="J18" s="5"/>
      <c r="K18" s="5"/>
      <c r="L18" s="41"/>
      <c r="M18" s="41"/>
      <c r="N18" s="41"/>
      <c r="O18" s="41"/>
      <c r="P18" s="41"/>
      <c r="Q18" s="41"/>
      <c r="R18" s="41"/>
    </row>
    <row r="19" customFormat="false" ht="12.75" hidden="false" customHeight="false" outlineLevel="0" collapsed="false">
      <c r="I19" s="5"/>
      <c r="J19" s="5"/>
      <c r="K19" s="5"/>
      <c r="L19" s="28"/>
      <c r="M19" s="29"/>
      <c r="N19" s="29"/>
      <c r="O19" s="29"/>
      <c r="P19" s="29"/>
      <c r="Q19" s="29"/>
    </row>
    <row r="20" customFormat="false" ht="12.75" hidden="false" customHeight="false" outlineLevel="0" collapsed="false">
      <c r="G20" s="42"/>
    </row>
    <row r="21" customFormat="false" ht="12.75" hidden="false" customHeight="false" outlineLevel="0" collapsed="false">
      <c r="A21" s="6" t="s">
        <v>26</v>
      </c>
      <c r="G21" s="43"/>
      <c r="M21" s="26"/>
      <c r="N21" s="26"/>
      <c r="O21" s="26"/>
      <c r="P21" s="26"/>
      <c r="Q21" s="26"/>
    </row>
    <row r="22" customFormat="false" ht="12.75" hidden="false" customHeight="false" outlineLevel="0" collapsed="false">
      <c r="A22" s="7"/>
      <c r="B22" s="8"/>
      <c r="C22" s="8"/>
      <c r="D22" s="8"/>
      <c r="E22" s="8"/>
      <c r="F22" s="8"/>
      <c r="G22" s="44" t="s">
        <v>27</v>
      </c>
      <c r="H22" s="44" t="s">
        <v>28</v>
      </c>
      <c r="I22" s="45" t="s">
        <v>29</v>
      </c>
      <c r="L22" s="46"/>
      <c r="M22" s="46"/>
      <c r="N22" s="47" t="s">
        <v>30</v>
      </c>
      <c r="O22" s="47"/>
      <c r="P22" s="47" t="s">
        <v>31</v>
      </c>
      <c r="Q22" s="48"/>
      <c r="R22" s="48"/>
    </row>
    <row r="23" customFormat="false" ht="12.75" hidden="false" customHeight="false" outlineLevel="0" collapsed="false">
      <c r="A23" s="49" t="s">
        <v>32</v>
      </c>
      <c r="B23" s="5"/>
      <c r="C23" s="5"/>
      <c r="D23" s="5"/>
      <c r="E23" s="5"/>
      <c r="G23" s="5"/>
      <c r="H23" s="5"/>
      <c r="I23" s="50"/>
      <c r="L23" s="46"/>
      <c r="M23" s="46"/>
      <c r="N23" s="51" t="s">
        <v>33</v>
      </c>
      <c r="O23" s="47"/>
      <c r="P23" s="51" t="s">
        <v>34</v>
      </c>
      <c r="Q23" s="48"/>
      <c r="R23" s="51" t="s">
        <v>35</v>
      </c>
    </row>
    <row r="24" customFormat="false" ht="12.75" hidden="false" customHeight="false" outlineLevel="0" collapsed="false">
      <c r="A24" s="14"/>
      <c r="B24" s="5" t="s">
        <v>36</v>
      </c>
      <c r="C24" s="5"/>
      <c r="D24" s="5"/>
      <c r="E24" s="5"/>
      <c r="G24" s="26" t="n">
        <f aca="false">+I24-H24</f>
        <v>189739.385991063</v>
      </c>
      <c r="H24" s="52" t="n">
        <f aca="false">+G13</f>
        <v>157900</v>
      </c>
      <c r="I24" s="53" t="n">
        <f aca="false">+Quarterly!E8/1000</f>
        <v>347639.385991063</v>
      </c>
      <c r="L24" s="54" t="s">
        <v>37</v>
      </c>
      <c r="M24" s="55"/>
      <c r="N24" s="56" t="n">
        <f aca="false">189498.409902929+G25</f>
        <v>187671.615053614</v>
      </c>
      <c r="O24" s="56"/>
      <c r="P24" s="56" t="n">
        <v>157900</v>
      </c>
      <c r="R24" s="56" t="n">
        <f aca="false">N24/2+P24</f>
        <v>251735.807526807</v>
      </c>
    </row>
    <row r="25" customFormat="false" ht="15" hidden="false" customHeight="false" outlineLevel="0" collapsed="false">
      <c r="A25" s="14"/>
      <c r="B25" s="5" t="s">
        <v>38</v>
      </c>
      <c r="C25" s="5"/>
      <c r="D25" s="5"/>
      <c r="E25" s="5"/>
      <c r="G25" s="57" t="n">
        <f aca="false">-H25</f>
        <v>-1826.79484931507</v>
      </c>
      <c r="H25" s="58" t="n">
        <f aca="false">+G13*0.09*($G$6-DATE(2000,9,30))/365*0.51</f>
        <v>1826.79484931507</v>
      </c>
      <c r="I25" s="59" t="n">
        <f aca="false">+G25+H25</f>
        <v>0</v>
      </c>
      <c r="L25" s="60" t="s">
        <v>39</v>
      </c>
      <c r="M25" s="55"/>
      <c r="N25" s="56" t="n">
        <f aca="false">-7117.44319152642+H25</f>
        <v>-5290.64834221135</v>
      </c>
      <c r="O25" s="56"/>
      <c r="P25" s="56" t="n">
        <v>2872.58931628059</v>
      </c>
      <c r="R25" s="56" t="n">
        <f aca="false">N25/2+P25</f>
        <v>227.26514517491</v>
      </c>
    </row>
    <row r="26" customFormat="false" ht="15" hidden="false" customHeight="false" outlineLevel="0" collapsed="false">
      <c r="A26" s="14"/>
      <c r="B26" s="5"/>
      <c r="C26" s="5"/>
      <c r="D26" s="5"/>
      <c r="E26" s="5"/>
      <c r="G26" s="57"/>
      <c r="H26" s="58"/>
      <c r="I26" s="59"/>
      <c r="L26" s="60" t="s">
        <v>40</v>
      </c>
      <c r="M26" s="55"/>
      <c r="N26" s="56" t="n">
        <v>0</v>
      </c>
      <c r="O26" s="56"/>
      <c r="P26" s="56" t="n">
        <v>2959.00273972603</v>
      </c>
      <c r="R26" s="56" t="n">
        <v>2959.00273972603</v>
      </c>
    </row>
    <row r="27" customFormat="false" ht="12.75" hidden="false" customHeight="false" outlineLevel="0" collapsed="false">
      <c r="A27" s="14"/>
      <c r="B27" s="5" t="s">
        <v>41</v>
      </c>
      <c r="D27" s="5"/>
      <c r="E27" s="5"/>
      <c r="G27" s="25" t="n">
        <f aca="false">+G24+G25</f>
        <v>187912.591141748</v>
      </c>
      <c r="H27" s="26" t="n">
        <f aca="false">+H24+H25</f>
        <v>159726.794849315</v>
      </c>
      <c r="I27" s="53" t="n">
        <f aca="false">+G27+H27</f>
        <v>347639.385991063</v>
      </c>
      <c r="L27" s="54" t="s">
        <v>42</v>
      </c>
      <c r="M27" s="55"/>
      <c r="N27" s="56" t="n">
        <v>182380.966711402</v>
      </c>
      <c r="O27" s="56"/>
      <c r="P27" s="56" t="n">
        <v>163731.592056007</v>
      </c>
      <c r="R27" s="56" t="n">
        <v>254922.075411708</v>
      </c>
    </row>
    <row r="28" customFormat="false" ht="12.75" hidden="false" customHeight="false" outlineLevel="0" collapsed="false">
      <c r="A28" s="14"/>
      <c r="B28" s="5"/>
      <c r="C28" s="0" t="s">
        <v>43</v>
      </c>
      <c r="D28" s="5"/>
      <c r="E28" s="5"/>
      <c r="G28" s="37" t="n">
        <f aca="false">+G27/I27</f>
        <v>0.540538842013082</v>
      </c>
      <c r="H28" s="37" t="n">
        <f aca="false">+H27/I27</f>
        <v>0.459461157986918</v>
      </c>
      <c r="I28" s="61" t="n">
        <f aca="false">+G28+H28</f>
        <v>1</v>
      </c>
      <c r="L28" s="60" t="s">
        <v>44</v>
      </c>
      <c r="M28" s="55"/>
      <c r="N28" s="56" t="n">
        <v>23515.8372290121</v>
      </c>
      <c r="O28" s="56"/>
      <c r="P28" s="56"/>
      <c r="R28" s="56" t="n">
        <v>11757.9186145061</v>
      </c>
    </row>
    <row r="29" customFormat="false" ht="12.75" hidden="false" customHeight="false" outlineLevel="0" collapsed="false">
      <c r="A29" s="14"/>
      <c r="B29" s="5"/>
      <c r="C29" s="5"/>
      <c r="D29" s="5"/>
      <c r="E29" s="5"/>
      <c r="G29" s="25"/>
      <c r="H29" s="26"/>
      <c r="I29" s="53"/>
      <c r="L29" s="62"/>
      <c r="M29" s="63"/>
      <c r="N29" s="64"/>
      <c r="O29" s="56"/>
      <c r="P29" s="56"/>
    </row>
    <row r="30" customFormat="false" ht="12.75" hidden="false" customHeight="false" outlineLevel="0" collapsed="false">
      <c r="A30" s="14"/>
      <c r="B30" s="5" t="s">
        <v>45</v>
      </c>
      <c r="C30" s="5"/>
      <c r="D30" s="5"/>
      <c r="E30" s="5"/>
      <c r="G30" s="26" t="n">
        <v>0</v>
      </c>
      <c r="H30" s="52" t="n">
        <f aca="false">G13*0.09*($G$6-DATE(2000,9,30))/365*0.49</f>
        <v>1755.15583561644</v>
      </c>
      <c r="I30" s="53" t="n">
        <f aca="false">+G30+H30</f>
        <v>1755.15583561644</v>
      </c>
      <c r="L30" s="60" t="s">
        <v>46</v>
      </c>
      <c r="M30" s="55"/>
      <c r="N30" s="56" t="n">
        <v>205896.803940415</v>
      </c>
      <c r="O30" s="56"/>
      <c r="P30" s="56" t="n">
        <v>163731.592056007</v>
      </c>
      <c r="R30" s="56" t="n">
        <v>266679.994026214</v>
      </c>
    </row>
    <row r="31" customFormat="false" ht="12.75" hidden="false" customHeight="false" outlineLevel="0" collapsed="false">
      <c r="A31" s="14"/>
      <c r="B31" s="5" t="s">
        <v>47</v>
      </c>
      <c r="C31" s="5"/>
      <c r="D31" s="5"/>
      <c r="E31" s="5"/>
      <c r="G31" s="26" t="n">
        <f aca="false">-G27*$G$9</f>
        <v>-1127.47554685049</v>
      </c>
      <c r="H31" s="26" t="n">
        <f aca="false">-H27*$G$9</f>
        <v>-958.360769095891</v>
      </c>
      <c r="I31" s="33" t="n">
        <f aca="false">+G31+H31</f>
        <v>-2085.83631594638</v>
      </c>
      <c r="L31" s="54" t="s">
        <v>48</v>
      </c>
      <c r="M31" s="55"/>
      <c r="N31" s="56" t="n">
        <v>202212</v>
      </c>
      <c r="O31" s="56"/>
      <c r="P31" s="56" t="n">
        <v>157900</v>
      </c>
      <c r="R31" s="56" t="n">
        <v>259006</v>
      </c>
    </row>
    <row r="32" customFormat="false" ht="12.75" hidden="false" customHeight="false" outlineLevel="0" collapsed="false">
      <c r="A32" s="14"/>
      <c r="B32" s="5" t="s">
        <v>49</v>
      </c>
      <c r="C32" s="5"/>
      <c r="D32" s="5"/>
      <c r="E32" s="5"/>
      <c r="G32" s="26" t="n">
        <f aca="false">-G27*$G$10</f>
        <v>-1127.47554685049</v>
      </c>
      <c r="H32" s="26" t="n">
        <v>0</v>
      </c>
      <c r="I32" s="33" t="n">
        <f aca="false">+G32+H32</f>
        <v>-1127.47554685049</v>
      </c>
    </row>
    <row r="33" customFormat="false" ht="12.75" hidden="false" customHeight="false" outlineLevel="0" collapsed="false">
      <c r="A33" s="14"/>
      <c r="B33" s="5" t="s">
        <v>50</v>
      </c>
      <c r="C33" s="5"/>
      <c r="D33" s="5"/>
      <c r="E33" s="5"/>
      <c r="G33" s="26" t="n">
        <f aca="false">-G11</f>
        <v>-3000</v>
      </c>
      <c r="H33" s="26" t="n">
        <v>0</v>
      </c>
      <c r="I33" s="33" t="n">
        <f aca="false">+G33+H33</f>
        <v>-3000</v>
      </c>
      <c r="L33" s="54" t="s">
        <v>7</v>
      </c>
      <c r="M33" s="55"/>
      <c r="N33" s="56" t="n">
        <v>3684.80394041451</v>
      </c>
      <c r="O33" s="56"/>
      <c r="P33" s="56" t="n">
        <v>5831.5920560066</v>
      </c>
      <c r="R33" s="65" t="n">
        <v>7673.99402621386</v>
      </c>
    </row>
    <row r="34" customFormat="false" ht="15" hidden="false" customHeight="false" outlineLevel="0" collapsed="false">
      <c r="A34" s="14"/>
      <c r="B34" s="5" t="s">
        <v>51</v>
      </c>
      <c r="C34" s="5"/>
      <c r="D34" s="5"/>
      <c r="E34" s="5"/>
      <c r="G34" s="58" t="n">
        <f aca="false">-G27*$G$8</f>
        <v>-352.336108390778</v>
      </c>
      <c r="H34" s="58" t="n">
        <f aca="false">-H27*$G$8</f>
        <v>-299.487740342466</v>
      </c>
      <c r="I34" s="66" t="n">
        <f aca="false">+G34+H34</f>
        <v>-651.823848733244</v>
      </c>
      <c r="L34" s="63"/>
      <c r="M34" s="63"/>
      <c r="N34" s="64"/>
      <c r="O34" s="64"/>
      <c r="P34" s="56"/>
    </row>
    <row r="35" customFormat="false" ht="12.75" hidden="false" customHeight="false" outlineLevel="0" collapsed="false">
      <c r="A35" s="14"/>
      <c r="B35" s="5"/>
      <c r="C35" s="5"/>
      <c r="D35" s="5"/>
      <c r="E35" s="5"/>
      <c r="G35" s="5"/>
      <c r="H35" s="5"/>
      <c r="I35" s="50"/>
      <c r="L35" s="67"/>
      <c r="M35" s="55"/>
      <c r="N35" s="68"/>
      <c r="O35" s="56"/>
      <c r="P35" s="56"/>
    </row>
    <row r="36" customFormat="false" ht="12.75" hidden="false" customHeight="false" outlineLevel="0" collapsed="false">
      <c r="A36" s="14"/>
      <c r="B36" s="5" t="s">
        <v>42</v>
      </c>
      <c r="C36" s="5"/>
      <c r="D36" s="5"/>
      <c r="E36" s="5"/>
      <c r="G36" s="26" t="n">
        <f aca="false">SUM(G30:G34)+G27</f>
        <v>182305.303939656</v>
      </c>
      <c r="H36" s="26" t="n">
        <f aca="false">SUM(H30:H34)+H27</f>
        <v>160224.102175493</v>
      </c>
      <c r="I36" s="33" t="n">
        <f aca="false">SUM(I30:I34)+I27</f>
        <v>342529.40611515</v>
      </c>
    </row>
    <row r="37" customFormat="false" ht="12.75" hidden="false" customHeight="false" outlineLevel="0" collapsed="false">
      <c r="A37" s="14"/>
      <c r="B37" s="5"/>
      <c r="C37" s="5"/>
      <c r="D37" s="5"/>
      <c r="E37" s="5"/>
      <c r="G37" s="5"/>
      <c r="H37" s="5"/>
      <c r="I37" s="50"/>
    </row>
    <row r="38" customFormat="false" ht="12.75" hidden="false" customHeight="false" outlineLevel="0" collapsed="false">
      <c r="A38" s="49" t="s">
        <v>52</v>
      </c>
      <c r="B38" s="5"/>
      <c r="C38" s="5"/>
      <c r="D38" s="5"/>
      <c r="E38" s="5"/>
      <c r="G38" s="5"/>
      <c r="H38" s="5"/>
      <c r="I38" s="50"/>
    </row>
    <row r="39" customFormat="false" ht="15" hidden="false" customHeight="false" outlineLevel="0" collapsed="false">
      <c r="A39" s="14"/>
      <c r="B39" s="5" t="s">
        <v>53</v>
      </c>
      <c r="C39" s="5"/>
      <c r="D39" s="5"/>
      <c r="E39" s="69" t="s">
        <v>54</v>
      </c>
      <c r="G39" s="58" t="n">
        <f aca="false">+Contingent!E36</f>
        <v>23515.8372290121</v>
      </c>
      <c r="H39" s="70" t="n">
        <v>0</v>
      </c>
      <c r="I39" s="66" t="n">
        <f aca="false">+G39+H39</f>
        <v>23515.8372290121</v>
      </c>
    </row>
    <row r="40" customFormat="false" ht="12.75" hidden="false" customHeight="false" outlineLevel="0" collapsed="false">
      <c r="A40" s="14"/>
      <c r="B40" s="5"/>
      <c r="C40" s="5"/>
      <c r="D40" s="5"/>
      <c r="E40" s="5"/>
      <c r="G40" s="5"/>
      <c r="H40" s="5"/>
      <c r="I40" s="50"/>
    </row>
    <row r="41" customFormat="false" ht="12.75" hidden="false" customHeight="false" outlineLevel="0" collapsed="false">
      <c r="A41" s="71" t="s">
        <v>55</v>
      </c>
      <c r="B41" s="17"/>
      <c r="C41" s="17"/>
      <c r="D41" s="17"/>
      <c r="E41" s="17"/>
      <c r="F41" s="17"/>
      <c r="G41" s="72" t="n">
        <f aca="false">+G36+G39</f>
        <v>205821.141168669</v>
      </c>
      <c r="H41" s="72" t="n">
        <f aca="false">+H36+H39</f>
        <v>160224.102175493</v>
      </c>
      <c r="I41" s="73" t="n">
        <f aca="false">+I36+I39</f>
        <v>366045.243344162</v>
      </c>
    </row>
    <row r="42" customFormat="false" ht="12.75" hidden="false" customHeight="false" outlineLevel="0" collapsed="false">
      <c r="A42" s="5"/>
      <c r="B42" s="5"/>
      <c r="C42" s="5"/>
      <c r="D42" s="5"/>
      <c r="E42" s="5"/>
      <c r="G42" s="5"/>
      <c r="H42" s="5"/>
      <c r="I42" s="5"/>
    </row>
    <row r="43" customFormat="false" ht="12.75" hidden="false" customHeight="false" outlineLevel="0" collapsed="false">
      <c r="B43" s="5"/>
      <c r="C43" s="5"/>
      <c r="D43" s="5"/>
      <c r="E43" s="5"/>
      <c r="G43" s="5"/>
      <c r="H43" s="5"/>
      <c r="I43" s="5"/>
    </row>
    <row r="44" customFormat="false" ht="12.75" hidden="false" customHeight="false" outlineLevel="0" collapsed="false">
      <c r="A44" s="6" t="s">
        <v>56</v>
      </c>
      <c r="B44" s="5"/>
      <c r="C44" s="5"/>
      <c r="D44" s="5"/>
      <c r="E44" s="5"/>
      <c r="G44" s="5"/>
      <c r="H44" s="5"/>
      <c r="I44" s="5"/>
    </row>
    <row r="45" customFormat="false" ht="12.75" hidden="false" customHeight="false" outlineLevel="0" collapsed="false">
      <c r="A45" s="7"/>
      <c r="B45" s="8"/>
      <c r="C45" s="8"/>
      <c r="D45" s="8"/>
      <c r="E45" s="8"/>
      <c r="F45" s="8"/>
      <c r="G45" s="44" t="s">
        <v>27</v>
      </c>
      <c r="H45" s="44" t="s">
        <v>28</v>
      </c>
      <c r="I45" s="45" t="s">
        <v>29</v>
      </c>
    </row>
    <row r="46" customFormat="false" ht="12.75" hidden="false" customHeight="false" outlineLevel="0" collapsed="false">
      <c r="A46" s="14" t="s">
        <v>57</v>
      </c>
      <c r="B46" s="5"/>
      <c r="C46" s="5"/>
      <c r="D46" s="5"/>
      <c r="E46" s="5"/>
      <c r="G46" s="26" t="n">
        <f aca="false">+G41*0.5</f>
        <v>102910.570584334</v>
      </c>
      <c r="H46" s="26" t="n">
        <f aca="false">+H41</f>
        <v>160224.102175493</v>
      </c>
      <c r="I46" s="33" t="n">
        <f aca="false">+G46+H46</f>
        <v>263134.672759827</v>
      </c>
    </row>
    <row r="47" customFormat="false" ht="12.75" hidden="false" customHeight="false" outlineLevel="0" collapsed="false">
      <c r="A47" s="14"/>
      <c r="B47" s="5"/>
      <c r="C47" s="5"/>
      <c r="D47" s="5"/>
      <c r="E47" s="5"/>
      <c r="G47" s="5"/>
      <c r="H47" s="5"/>
      <c r="I47" s="50"/>
    </row>
    <row r="48" customFormat="false" ht="12.75" hidden="false" customHeight="false" outlineLevel="0" collapsed="false">
      <c r="A48" s="14" t="s">
        <v>58</v>
      </c>
      <c r="B48" s="5"/>
      <c r="C48" s="5"/>
      <c r="D48" s="5"/>
      <c r="E48" s="5"/>
      <c r="G48" s="26" t="n">
        <f aca="false">-G12*0.5</f>
        <v>-101106</v>
      </c>
      <c r="H48" s="26" t="n">
        <f aca="false">-G13</f>
        <v>-157900</v>
      </c>
      <c r="I48" s="33" t="n">
        <f aca="false">+G48+H48</f>
        <v>-259006</v>
      </c>
    </row>
    <row r="49" customFormat="false" ht="12.75" hidden="false" customHeight="false" outlineLevel="0" collapsed="false">
      <c r="A49" s="14" t="s">
        <v>59</v>
      </c>
      <c r="B49" s="5"/>
      <c r="C49" s="5"/>
      <c r="D49" s="5"/>
      <c r="E49" s="5"/>
      <c r="G49" s="26" t="n">
        <f aca="false">-G32</f>
        <v>1127.47554685049</v>
      </c>
      <c r="H49" s="26" t="n">
        <v>0</v>
      </c>
      <c r="I49" s="33" t="n">
        <f aca="false">+G49+H49</f>
        <v>1127.47554685049</v>
      </c>
    </row>
    <row r="50" customFormat="false" ht="15" hidden="false" customHeight="false" outlineLevel="0" collapsed="false">
      <c r="A50" s="14" t="s">
        <v>60</v>
      </c>
      <c r="B50" s="5"/>
      <c r="C50" s="5"/>
      <c r="D50" s="5"/>
      <c r="E50" s="5"/>
      <c r="G50" s="58" t="n">
        <f aca="false">-G33</f>
        <v>3000</v>
      </c>
      <c r="H50" s="58" t="n">
        <v>0</v>
      </c>
      <c r="I50" s="66" t="n">
        <f aca="false">+G50+H50</f>
        <v>3000</v>
      </c>
    </row>
    <row r="51" customFormat="false" ht="12.75" hidden="false" customHeight="false" outlineLevel="0" collapsed="false">
      <c r="A51" s="14"/>
      <c r="B51" s="5"/>
      <c r="C51" s="5"/>
      <c r="D51" s="5"/>
      <c r="E51" s="5"/>
      <c r="G51" s="5"/>
      <c r="H51" s="5"/>
      <c r="I51" s="50"/>
    </row>
    <row r="52" customFormat="false" ht="12.75" hidden="false" customHeight="false" outlineLevel="0" collapsed="false">
      <c r="A52" s="16" t="s">
        <v>61</v>
      </c>
      <c r="B52" s="17"/>
      <c r="C52" s="17"/>
      <c r="D52" s="17"/>
      <c r="E52" s="17"/>
      <c r="F52" s="17"/>
      <c r="G52" s="72" t="n">
        <f aca="false">SUM(G46:G50)</f>
        <v>5932.04613118475</v>
      </c>
      <c r="H52" s="72" t="n">
        <f aca="false">SUM(H46:H50)</f>
        <v>2324.10217549317</v>
      </c>
      <c r="I52" s="73" t="n">
        <f aca="false">SUM(I46:I50)</f>
        <v>8256.14830667795</v>
      </c>
    </row>
    <row r="53" customFormat="false" ht="12.75" hidden="false" customHeight="false" outlineLevel="0" collapsed="false">
      <c r="A53" s="5"/>
      <c r="B53" s="5"/>
      <c r="C53" s="5"/>
      <c r="D53" s="5"/>
      <c r="E53" s="5"/>
      <c r="F53" s="26"/>
      <c r="G53" s="26"/>
      <c r="H53" s="26"/>
    </row>
    <row r="55" customFormat="false" ht="12.75" hidden="false" customHeight="false" outlineLevel="0" collapsed="false">
      <c r="A55" s="5" t="s">
        <v>62</v>
      </c>
      <c r="B55" s="5"/>
      <c r="C55" s="5"/>
      <c r="D55" s="5"/>
      <c r="E55" s="5"/>
      <c r="F55" s="5"/>
      <c r="G55" s="5"/>
    </row>
    <row r="56" customFormat="false" ht="12.75" hidden="false" customHeight="false" outlineLevel="0" collapsed="false">
      <c r="A56" s="0" t="s">
        <v>63</v>
      </c>
      <c r="B56" s="5"/>
      <c r="C56" s="5"/>
      <c r="D56" s="5"/>
      <c r="E56" s="5"/>
      <c r="F56" s="26"/>
      <c r="G56" s="5"/>
    </row>
    <row r="57" customFormat="false" ht="12.75" hidden="false" customHeight="false" outlineLevel="0" collapsed="false">
      <c r="A57" s="5" t="s">
        <v>64</v>
      </c>
      <c r="B57" s="5"/>
      <c r="C57" s="5"/>
      <c r="D57" s="5"/>
      <c r="E57" s="5"/>
      <c r="F57" s="26"/>
      <c r="G57" s="5"/>
    </row>
    <row r="58" customFormat="false" ht="15" hidden="false" customHeight="false" outlineLevel="0" collapsed="false">
      <c r="A58" s="5"/>
      <c r="B58" s="5"/>
      <c r="C58" s="5"/>
      <c r="D58" s="5"/>
      <c r="E58" s="5"/>
      <c r="F58" s="58"/>
      <c r="G58" s="5"/>
    </row>
    <row r="59" customFormat="false" ht="12.75" hidden="false" customHeight="false" outlineLevel="0" collapsed="false">
      <c r="A59" s="5"/>
      <c r="B59" s="5"/>
      <c r="C59" s="5"/>
      <c r="D59" s="5"/>
      <c r="E59" s="5"/>
      <c r="F59" s="5"/>
      <c r="G59" s="5"/>
    </row>
    <row r="60" customFormat="false" ht="12.75" hidden="false" customHeight="false" outlineLevel="0" collapsed="false">
      <c r="A60" s="5"/>
      <c r="B60" s="5"/>
      <c r="C60" s="5"/>
      <c r="D60" s="5"/>
      <c r="E60" s="5"/>
      <c r="F60" s="26"/>
      <c r="G60" s="5"/>
    </row>
    <row r="61" customFormat="false" ht="12.75" hidden="false" customHeight="false" outlineLevel="0" collapsed="false">
      <c r="A61" s="5"/>
      <c r="B61" s="5"/>
      <c r="C61" s="5"/>
      <c r="D61" s="5"/>
      <c r="E61" s="5"/>
      <c r="F61" s="5"/>
      <c r="G61" s="5"/>
    </row>
    <row r="62" customFormat="false" ht="12.75" hidden="false" customHeight="false" outlineLevel="0" collapsed="false">
      <c r="A62" s="5"/>
      <c r="B62" s="5"/>
      <c r="C62" s="5"/>
      <c r="D62" s="5"/>
      <c r="E62" s="5"/>
      <c r="F62" s="74"/>
      <c r="G62" s="5"/>
    </row>
    <row r="63" customFormat="false" ht="12.75" hidden="false" customHeight="false" outlineLevel="0" collapsed="false">
      <c r="A63" s="5"/>
      <c r="B63" s="5"/>
      <c r="C63" s="5"/>
      <c r="D63" s="5"/>
      <c r="E63" s="5"/>
      <c r="F63" s="74"/>
      <c r="G63" s="5"/>
    </row>
    <row r="64" customFormat="false" ht="15" hidden="false" customHeight="false" outlineLevel="0" collapsed="false">
      <c r="A64" s="5"/>
      <c r="B64" s="5"/>
      <c r="C64" s="5"/>
      <c r="D64" s="5"/>
      <c r="E64" s="5"/>
      <c r="F64" s="58"/>
      <c r="G64" s="5"/>
    </row>
    <row r="65" customFormat="false" ht="12.75" hidden="false" customHeight="false" outlineLevel="0" collapsed="false">
      <c r="A65" s="5"/>
      <c r="B65" s="5"/>
      <c r="C65" s="5"/>
      <c r="D65" s="5"/>
      <c r="E65" s="5"/>
      <c r="F65" s="5"/>
      <c r="G65" s="5"/>
    </row>
    <row r="66" customFormat="false" ht="12.75" hidden="false" customHeight="false" outlineLevel="0" collapsed="false">
      <c r="A66" s="5"/>
      <c r="B66" s="5"/>
      <c r="C66" s="5"/>
      <c r="D66" s="5"/>
      <c r="E66" s="5"/>
      <c r="F66" s="26"/>
      <c r="G66" s="5"/>
    </row>
    <row r="67" customFormat="false" ht="12.75" hidden="false" customHeight="false" outlineLevel="0" collapsed="false">
      <c r="A67" s="5"/>
      <c r="B67" s="5"/>
      <c r="C67" s="5"/>
      <c r="D67" s="5"/>
      <c r="E67" s="5"/>
      <c r="F67" s="5"/>
      <c r="G67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46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M8" activeCellId="0" sqref="M8:M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2.56"/>
    <col collapsed="false" customWidth="true" hidden="false" outlineLevel="0" max="5" min="5" style="75" width="12.14"/>
    <col collapsed="false" customWidth="true" hidden="false" outlineLevel="0" max="6" min="6" style="0" width="13.85"/>
    <col collapsed="false" customWidth="true" hidden="false" outlineLevel="0" max="7" min="7" style="0" width="12.85"/>
    <col collapsed="false" customWidth="true" hidden="false" outlineLevel="0" max="8" min="8" style="0" width="14.41"/>
    <col collapsed="false" customWidth="true" hidden="false" outlineLevel="0" max="9" min="9" style="0" width="12.56"/>
    <col collapsed="false" customWidth="true" hidden="false" outlineLevel="0" max="13" min="10" style="0" width="12.28"/>
  </cols>
  <sheetData>
    <row r="1" customFormat="false" ht="12.75" hidden="false" customHeight="false" outlineLevel="0" collapsed="false">
      <c r="D1" s="75"/>
      <c r="E1" s="0"/>
    </row>
    <row r="2" customFormat="false" ht="12.75" hidden="false" customHeight="false" outlineLevel="0" collapsed="false">
      <c r="A2" s="6" t="s">
        <v>32</v>
      </c>
      <c r="D2" s="75"/>
      <c r="E2" s="0"/>
    </row>
    <row r="3" customFormat="false" ht="12.75" hidden="false" customHeight="false" outlineLevel="0" collapsed="false">
      <c r="A3" s="76" t="s">
        <v>65</v>
      </c>
      <c r="B3" s="76"/>
      <c r="C3" s="76"/>
      <c r="D3" s="76"/>
      <c r="E3" s="76"/>
      <c r="F3" s="76" t="s">
        <v>66</v>
      </c>
      <c r="G3" s="76"/>
      <c r="H3" s="76" t="s">
        <v>67</v>
      </c>
      <c r="I3" s="76"/>
      <c r="J3" s="45" t="s">
        <v>29</v>
      </c>
      <c r="K3" s="45"/>
    </row>
    <row r="4" customFormat="false" ht="12.75" hidden="false" customHeight="false" outlineLevel="0" collapsed="false">
      <c r="A4" s="14"/>
      <c r="B4" s="77" t="s">
        <v>68</v>
      </c>
      <c r="C4" s="77"/>
      <c r="D4" s="69"/>
      <c r="E4" s="50"/>
      <c r="G4" s="50"/>
      <c r="I4" s="50"/>
      <c r="K4" s="50"/>
    </row>
    <row r="5" customFormat="false" ht="12.75" hidden="false" customHeight="false" outlineLevel="0" collapsed="false">
      <c r="A5" s="78" t="s">
        <v>69</v>
      </c>
      <c r="B5" s="77" t="s">
        <v>70</v>
      </c>
      <c r="C5" s="77" t="s">
        <v>71</v>
      </c>
      <c r="D5" s="77" t="s">
        <v>72</v>
      </c>
      <c r="E5" s="79" t="s">
        <v>73</v>
      </c>
      <c r="F5" s="78" t="s">
        <v>74</v>
      </c>
      <c r="G5" s="79" t="s">
        <v>65</v>
      </c>
      <c r="H5" s="78" t="s">
        <v>74</v>
      </c>
      <c r="I5" s="79" t="s">
        <v>65</v>
      </c>
      <c r="J5" s="77" t="s">
        <v>74</v>
      </c>
      <c r="K5" s="79" t="s">
        <v>65</v>
      </c>
    </row>
    <row r="6" customFormat="false" ht="12.75" hidden="false" customHeight="false" outlineLevel="0" collapsed="false">
      <c r="A6" s="80" t="s">
        <v>75</v>
      </c>
      <c r="B6" s="5"/>
      <c r="C6" s="5"/>
      <c r="D6" s="69"/>
      <c r="E6" s="50"/>
      <c r="F6" s="81" t="n">
        <f aca="false">ROUND(+Summary!H28*J6,0)</f>
        <v>137838</v>
      </c>
      <c r="G6" s="50"/>
      <c r="H6" s="81" t="n">
        <f aca="false">+J6-F6</f>
        <v>162162</v>
      </c>
      <c r="I6" s="50"/>
      <c r="J6" s="82" t="n">
        <f aca="false">+Summary!G16</f>
        <v>300000</v>
      </c>
      <c r="K6" s="50"/>
    </row>
    <row r="7" customFormat="false" ht="12.75" hidden="false" customHeight="false" outlineLevel="0" collapsed="false">
      <c r="A7" s="14"/>
      <c r="D7" s="75"/>
      <c r="E7" s="50"/>
      <c r="G7" s="50"/>
      <c r="I7" s="50"/>
      <c r="K7" s="50"/>
      <c r="M7" s="82" t="n">
        <v>0</v>
      </c>
    </row>
    <row r="8" customFormat="false" ht="12.75" hidden="false" customHeight="false" outlineLevel="0" collapsed="false">
      <c r="A8" s="80" t="n">
        <v>1</v>
      </c>
      <c r="B8" s="83" t="n">
        <v>36892</v>
      </c>
      <c r="C8" s="83" t="n">
        <v>36981</v>
      </c>
      <c r="D8" s="83" t="n">
        <v>37026</v>
      </c>
      <c r="E8" s="84" t="n">
        <f aca="false">+M8/J8</f>
        <v>0.52688378001555</v>
      </c>
      <c r="F8" s="81" t="n">
        <f aca="false">+$F$6*($C8-$B8+1)</f>
        <v>12405420</v>
      </c>
      <c r="G8" s="53" t="n">
        <f aca="false">+F8*$E8</f>
        <v>6536214.58228051</v>
      </c>
      <c r="H8" s="81" t="n">
        <f aca="false">+$H$6*($C8-$B8+1)</f>
        <v>14594580</v>
      </c>
      <c r="I8" s="53" t="n">
        <f aca="false">+H8*$E8</f>
        <v>7689647.47813935</v>
      </c>
      <c r="J8" s="25" t="n">
        <f aca="false">+H8+F8</f>
        <v>27000000</v>
      </c>
      <c r="K8" s="53" t="n">
        <f aca="false">+I8+G8</f>
        <v>14225862.0604199</v>
      </c>
      <c r="M8" s="82" t="n">
        <v>14225862.0604199</v>
      </c>
    </row>
    <row r="9" customFormat="false" ht="12.75" hidden="false" customHeight="false" outlineLevel="0" collapsed="false">
      <c r="A9" s="80" t="n">
        <f aca="false">+A8+1</f>
        <v>2</v>
      </c>
      <c r="B9" s="83" t="n">
        <v>36982</v>
      </c>
      <c r="C9" s="83" t="n">
        <v>37072</v>
      </c>
      <c r="D9" s="83" t="n">
        <v>37118</v>
      </c>
      <c r="E9" s="84" t="n">
        <f aca="false">+M9/J9</f>
        <v>0.527607521471616</v>
      </c>
      <c r="F9" s="81" t="n">
        <f aca="false">+$F$6*($C9-$B9+1)</f>
        <v>12543258</v>
      </c>
      <c r="G9" s="53" t="n">
        <f aca="false">+F9*$E9</f>
        <v>6617917.26455902</v>
      </c>
      <c r="H9" s="81" t="n">
        <f aca="false">+$H$6*($C9-$B9+1)</f>
        <v>14756742</v>
      </c>
      <c r="I9" s="53" t="n">
        <f aca="false">+H9*$E9</f>
        <v>7785768.07161609</v>
      </c>
      <c r="J9" s="25" t="n">
        <f aca="false">+H9+F9</f>
        <v>27300000</v>
      </c>
      <c r="K9" s="53" t="n">
        <f aca="false">+I9+G9</f>
        <v>14403685.3361751</v>
      </c>
      <c r="M9" s="82" t="n">
        <v>14403685.3361751</v>
      </c>
    </row>
    <row r="10" customFormat="false" ht="12.75" hidden="false" customHeight="false" outlineLevel="0" collapsed="false">
      <c r="A10" s="80" t="n">
        <f aca="false">+A9+1</f>
        <v>3</v>
      </c>
      <c r="B10" s="83" t="n">
        <v>37073</v>
      </c>
      <c r="C10" s="83" t="n">
        <v>37164</v>
      </c>
      <c r="D10" s="83" t="n">
        <v>37210</v>
      </c>
      <c r="E10" s="84" t="n">
        <f aca="false">+M10/J10</f>
        <v>0.528396065321641</v>
      </c>
      <c r="F10" s="81" t="n">
        <f aca="false">+$F$6*($C10-$B10+1)</f>
        <v>12681096</v>
      </c>
      <c r="G10" s="53" t="n">
        <f aca="false">+F10*$E10</f>
        <v>6700641.230366</v>
      </c>
      <c r="H10" s="81" t="n">
        <f aca="false">+$H$6*($C10-$B10+1)</f>
        <v>14918904</v>
      </c>
      <c r="I10" s="53" t="n">
        <f aca="false">+H10*$E10</f>
        <v>7883090.17251129</v>
      </c>
      <c r="J10" s="25" t="n">
        <f aca="false">+H10+F10</f>
        <v>27600000</v>
      </c>
      <c r="K10" s="53" t="n">
        <f aca="false">+I10+G10</f>
        <v>14583731.4028773</v>
      </c>
      <c r="M10" s="82" t="n">
        <v>14583731.4028773</v>
      </c>
    </row>
    <row r="11" customFormat="false" ht="12.75" hidden="false" customHeight="false" outlineLevel="0" collapsed="false">
      <c r="A11" s="80" t="n">
        <f aca="false">+A10+1</f>
        <v>4</v>
      </c>
      <c r="B11" s="83" t="n">
        <v>37165</v>
      </c>
      <c r="C11" s="83" t="n">
        <v>37256</v>
      </c>
      <c r="D11" s="83" t="n">
        <v>37302</v>
      </c>
      <c r="E11" s="84" t="n">
        <f aca="false">+M11/J11</f>
        <v>0.535001016138162</v>
      </c>
      <c r="F11" s="81" t="n">
        <f aca="false">+$F$6*($C11-$B11+1)</f>
        <v>12681096</v>
      </c>
      <c r="G11" s="53" t="n">
        <f aca="false">+F11*$E11</f>
        <v>6784399.24574558</v>
      </c>
      <c r="H11" s="81" t="n">
        <f aca="false">+$H$6*($C11-$B11+1)</f>
        <v>14918904</v>
      </c>
      <c r="I11" s="53" t="n">
        <f aca="false">+H11*$E11</f>
        <v>7981628.79966769</v>
      </c>
      <c r="J11" s="25" t="n">
        <f aca="false">+H11+F11</f>
        <v>27600000</v>
      </c>
      <c r="K11" s="53" t="n">
        <f aca="false">+I11+G11</f>
        <v>14766028.0454133</v>
      </c>
      <c r="M11" s="82" t="n">
        <v>14766028.0454133</v>
      </c>
    </row>
    <row r="12" customFormat="false" ht="12.75" hidden="false" customHeight="false" outlineLevel="0" collapsed="false">
      <c r="A12" s="80" t="n">
        <f aca="false">+A11+1</f>
        <v>5</v>
      </c>
      <c r="B12" s="83" t="n">
        <v>37257</v>
      </c>
      <c r="C12" s="83" t="n">
        <v>37346</v>
      </c>
      <c r="D12" s="83" t="n">
        <v>37391</v>
      </c>
      <c r="E12" s="84" t="n">
        <f aca="false">+M12/J12</f>
        <v>0.553726051702997</v>
      </c>
      <c r="F12" s="81" t="n">
        <f aca="false">+$F$6*($C12-$B12+1)</f>
        <v>12405420</v>
      </c>
      <c r="G12" s="53" t="n">
        <f aca="false">+F12*$E12</f>
        <v>6869204.2363174</v>
      </c>
      <c r="H12" s="81" t="n">
        <f aca="false">+$H$6*($C12-$B12+1)</f>
        <v>14594580</v>
      </c>
      <c r="I12" s="53" t="n">
        <f aca="false">+H12*$E12</f>
        <v>8081399.15966353</v>
      </c>
      <c r="J12" s="25" t="n">
        <f aca="false">+H12+F12</f>
        <v>27000000</v>
      </c>
      <c r="K12" s="53" t="n">
        <f aca="false">+I12+G12</f>
        <v>14950603.3959809</v>
      </c>
      <c r="M12" s="82" t="n">
        <v>14950603.3959809</v>
      </c>
    </row>
    <row r="13" customFormat="false" ht="12.75" hidden="false" customHeight="false" outlineLevel="0" collapsed="false">
      <c r="A13" s="80" t="n">
        <f aca="false">+A12+1</f>
        <v>6</v>
      </c>
      <c r="B13" s="83" t="n">
        <v>37347</v>
      </c>
      <c r="C13" s="83" t="n">
        <v>37437</v>
      </c>
      <c r="D13" s="83" t="n">
        <v>37483</v>
      </c>
      <c r="E13" s="84" t="n">
        <f aca="false">+M13/J13</f>
        <v>0.554486664411381</v>
      </c>
      <c r="F13" s="81" t="n">
        <f aca="false">+$F$6*($C13-$B13+1)</f>
        <v>12543258</v>
      </c>
      <c r="G13" s="53" t="n">
        <f aca="false">+F13*$E13</f>
        <v>6955069.28927137</v>
      </c>
      <c r="H13" s="81" t="n">
        <f aca="false">+$H$6*($C13-$B13+1)</f>
        <v>14756742</v>
      </c>
      <c r="I13" s="53" t="n">
        <f aca="false">+H13*$E13</f>
        <v>8182416.64915933</v>
      </c>
      <c r="J13" s="25" t="n">
        <f aca="false">+H13+F13</f>
        <v>27300000</v>
      </c>
      <c r="K13" s="53" t="n">
        <f aca="false">+I13+G13</f>
        <v>15137485.9384307</v>
      </c>
      <c r="M13" s="82" t="n">
        <v>15137485.9384307</v>
      </c>
    </row>
    <row r="14" customFormat="false" ht="12.75" hidden="false" customHeight="false" outlineLevel="0" collapsed="false">
      <c r="A14" s="80" t="n">
        <f aca="false">+A13+1</f>
        <v>7</v>
      </c>
      <c r="B14" s="83" t="n">
        <v>37438</v>
      </c>
      <c r="C14" s="83" t="n">
        <v>37529</v>
      </c>
      <c r="D14" s="83" t="n">
        <v>37575</v>
      </c>
      <c r="E14" s="84" t="n">
        <f aca="false">+M14/J14</f>
        <v>0.555315380893517</v>
      </c>
      <c r="F14" s="81" t="n">
        <f aca="false">+$F$6*($C14-$B14+1)</f>
        <v>12681096</v>
      </c>
      <c r="G14" s="53" t="n">
        <f aca="false">+F14*$E14</f>
        <v>7042007.65538726</v>
      </c>
      <c r="H14" s="81" t="n">
        <f aca="false">+$H$6*($C14-$B14+1)</f>
        <v>14918904</v>
      </c>
      <c r="I14" s="53" t="n">
        <f aca="false">+H14*$E14</f>
        <v>8284696.85727382</v>
      </c>
      <c r="J14" s="25" t="n">
        <f aca="false">+H14+F14</f>
        <v>27600000</v>
      </c>
      <c r="K14" s="53" t="n">
        <f aca="false">+I14+G14</f>
        <v>15326704.5126611</v>
      </c>
      <c r="M14" s="82" t="n">
        <v>15326704.5126611</v>
      </c>
    </row>
    <row r="15" customFormat="false" ht="12.75" hidden="false" customHeight="false" outlineLevel="0" collapsed="false">
      <c r="A15" s="80" t="n">
        <f aca="false">+A14+1</f>
        <v>8</v>
      </c>
      <c r="B15" s="83" t="n">
        <v>37530</v>
      </c>
      <c r="C15" s="83" t="n">
        <v>37621</v>
      </c>
      <c r="D15" s="83" t="n">
        <v>37667</v>
      </c>
      <c r="E15" s="84" t="n">
        <f aca="false">+M15/J15</f>
        <v>0.562256823154686</v>
      </c>
      <c r="F15" s="81" t="n">
        <f aca="false">+$F$6*($C15-$B15+1)</f>
        <v>12681096</v>
      </c>
      <c r="G15" s="53" t="n">
        <f aca="false">+F15*$E15</f>
        <v>7130032.7510796</v>
      </c>
      <c r="H15" s="81" t="n">
        <f aca="false">+$H$6*($C15-$B15+1)</f>
        <v>14918904</v>
      </c>
      <c r="I15" s="53" t="n">
        <f aca="false">+H15*$E15</f>
        <v>8388255.56798974</v>
      </c>
      <c r="J15" s="25" t="n">
        <f aca="false">+H15+F15</f>
        <v>27600000</v>
      </c>
      <c r="K15" s="53" t="n">
        <f aca="false">+I15+G15</f>
        <v>15518288.3190693</v>
      </c>
      <c r="M15" s="82" t="n">
        <v>15518288.3190693</v>
      </c>
    </row>
    <row r="16" customFormat="false" ht="12.75" hidden="false" customHeight="false" outlineLevel="0" collapsed="false">
      <c r="A16" s="80" t="n">
        <f aca="false">+A15+1</f>
        <v>9</v>
      </c>
      <c r="B16" s="83" t="n">
        <v>37622</v>
      </c>
      <c r="C16" s="83" t="n">
        <v>37711</v>
      </c>
      <c r="D16" s="83" t="n">
        <v>37756</v>
      </c>
      <c r="E16" s="84" t="n">
        <f aca="false">+M16/J16</f>
        <v>0.5819358119651</v>
      </c>
      <c r="F16" s="81" t="n">
        <f aca="false">+$F$6*($C16-$B16+1)</f>
        <v>12405420</v>
      </c>
      <c r="G16" s="53" t="n">
        <f aca="false">+F16*$E16</f>
        <v>7219158.16046809</v>
      </c>
      <c r="H16" s="81" t="n">
        <f aca="false">+$H$6*($C16-$B16+1)</f>
        <v>14594580</v>
      </c>
      <c r="I16" s="53" t="n">
        <f aca="false">+H16*$E16</f>
        <v>8493108.76258961</v>
      </c>
      <c r="J16" s="25" t="n">
        <f aca="false">+H16+F16</f>
        <v>27000000</v>
      </c>
      <c r="K16" s="53" t="n">
        <f aca="false">+I16+G16</f>
        <v>15712266.9230577</v>
      </c>
      <c r="M16" s="82" t="n">
        <v>15712266.9230577</v>
      </c>
    </row>
    <row r="17" customFormat="false" ht="12.75" hidden="false" customHeight="false" outlineLevel="0" collapsed="false">
      <c r="A17" s="80" t="n">
        <f aca="false">+A16+1</f>
        <v>10</v>
      </c>
      <c r="B17" s="83" t="n">
        <v>37712</v>
      </c>
      <c r="C17" s="83" t="n">
        <v>37802</v>
      </c>
      <c r="D17" s="83" t="n">
        <v>37848</v>
      </c>
      <c r="E17" s="84" t="n">
        <f aca="false">+M17/J17</f>
        <v>0.582735174344173</v>
      </c>
      <c r="F17" s="81" t="n">
        <f aca="false">+$F$6*($C17-$B17+1)</f>
        <v>12543258</v>
      </c>
      <c r="G17" s="53" t="n">
        <f aca="false">+F17*$E17</f>
        <v>7309397.63747394</v>
      </c>
      <c r="H17" s="81" t="n">
        <f aca="false">+$H$6*($C17-$B17+1)</f>
        <v>14756742</v>
      </c>
      <c r="I17" s="53" t="n">
        <f aca="false">+H17*$E17</f>
        <v>8599272.62212198</v>
      </c>
      <c r="J17" s="25" t="n">
        <f aca="false">+H17+F17</f>
        <v>27300000</v>
      </c>
      <c r="K17" s="53" t="n">
        <f aca="false">+I17+G17</f>
        <v>15908670.2595959</v>
      </c>
      <c r="M17" s="82" t="n">
        <v>15908670.2595959</v>
      </c>
    </row>
    <row r="18" customFormat="false" ht="12.75" hidden="false" customHeight="false" outlineLevel="0" collapsed="false">
      <c r="A18" s="80" t="n">
        <f aca="false">+A17+1</f>
        <v>11</v>
      </c>
      <c r="B18" s="83" t="n">
        <v>37803</v>
      </c>
      <c r="C18" s="83" t="n">
        <v>37894</v>
      </c>
      <c r="D18" s="83" t="n">
        <v>37940</v>
      </c>
      <c r="E18" s="84" t="n">
        <f aca="false">+M18/J18</f>
        <v>0.583606110066698</v>
      </c>
      <c r="F18" s="81" t="n">
        <f aca="false">+$F$6*($C18-$B18+1)</f>
        <v>12681096</v>
      </c>
      <c r="G18" s="53" t="n">
        <f aca="false">+F18*$E18</f>
        <v>7400765.10794236</v>
      </c>
      <c r="H18" s="81" t="n">
        <f aca="false">+$H$6*($C18-$B18+1)</f>
        <v>14918904</v>
      </c>
      <c r="I18" s="53" t="n">
        <f aca="false">+H18*$E18</f>
        <v>8706763.5298985</v>
      </c>
      <c r="J18" s="25" t="n">
        <f aca="false">+H18+F18</f>
        <v>27600000</v>
      </c>
      <c r="K18" s="53" t="n">
        <f aca="false">+I18+G18</f>
        <v>16107528.6378409</v>
      </c>
      <c r="M18" s="82" t="n">
        <v>16107528.6378409</v>
      </c>
    </row>
    <row r="19" customFormat="false" ht="12.75" hidden="false" customHeight="false" outlineLevel="0" collapsed="false">
      <c r="A19" s="80" t="n">
        <f aca="false">+A18+1</f>
        <v>12</v>
      </c>
      <c r="B19" s="83" t="n">
        <v>37895</v>
      </c>
      <c r="C19" s="83" t="n">
        <v>37986</v>
      </c>
      <c r="D19" s="83" t="n">
        <v>38032</v>
      </c>
      <c r="E19" s="84" t="n">
        <f aca="false">+M19/J19</f>
        <v>0.590901186442532</v>
      </c>
      <c r="F19" s="81" t="n">
        <f aca="false">+$F$6*($C19-$B19+1)</f>
        <v>12681096</v>
      </c>
      <c r="G19" s="53" t="n">
        <f aca="false">+F19*$E19</f>
        <v>7493274.67179164</v>
      </c>
      <c r="H19" s="81" t="n">
        <f aca="false">+$H$6*($C19-$B19+1)</f>
        <v>14918904</v>
      </c>
      <c r="I19" s="53" t="n">
        <f aca="false">+H19*$E19</f>
        <v>8815598.07402223</v>
      </c>
      <c r="J19" s="25" t="n">
        <f aca="false">+H19+F19</f>
        <v>27600000</v>
      </c>
      <c r="K19" s="53" t="n">
        <f aca="false">+I19+G19</f>
        <v>16308872.7458139</v>
      </c>
      <c r="M19" s="82" t="n">
        <v>16308872.7458139</v>
      </c>
    </row>
    <row r="20" customFormat="false" ht="12.75" hidden="false" customHeight="false" outlineLevel="0" collapsed="false">
      <c r="A20" s="80" t="n">
        <f aca="false">+A19+1</f>
        <v>13</v>
      </c>
      <c r="B20" s="83" t="n">
        <v>37987</v>
      </c>
      <c r="C20" s="83" t="n">
        <v>38077</v>
      </c>
      <c r="D20" s="83" t="n">
        <v>38122</v>
      </c>
      <c r="E20" s="84" t="n">
        <f aca="false">+M20/J20</f>
        <v>0.604862038649691</v>
      </c>
      <c r="F20" s="81" t="n">
        <f aca="false">+$F$6*($C20-$B20+1)</f>
        <v>12543258</v>
      </c>
      <c r="G20" s="53" t="n">
        <f aca="false">+F20*$E20</f>
        <v>7586940.60518904</v>
      </c>
      <c r="H20" s="81" t="n">
        <f aca="false">+$H$6*($C20-$B20+1)</f>
        <v>14756742</v>
      </c>
      <c r="I20" s="53" t="n">
        <f aca="false">+H20*$E20</f>
        <v>8925793.04994751</v>
      </c>
      <c r="J20" s="25" t="n">
        <f aca="false">+H20+F20</f>
        <v>27300000</v>
      </c>
      <c r="K20" s="53" t="n">
        <f aca="false">+I20+G20</f>
        <v>16512733.6551366</v>
      </c>
      <c r="M20" s="82" t="n">
        <v>16512733.6551366</v>
      </c>
    </row>
    <row r="21" customFormat="false" ht="12.75" hidden="false" customHeight="false" outlineLevel="0" collapsed="false">
      <c r="A21" s="80" t="n">
        <f aca="false">+A20+1</f>
        <v>14</v>
      </c>
      <c r="B21" s="83" t="n">
        <v>38078</v>
      </c>
      <c r="C21" s="83" t="n">
        <v>38168</v>
      </c>
      <c r="D21" s="83" t="n">
        <v>38214</v>
      </c>
      <c r="E21" s="84" t="n">
        <f aca="false">+M21/J21</f>
        <v>0.612422814132812</v>
      </c>
      <c r="F21" s="81" t="n">
        <f aca="false">+$F$6*($C21-$B21+1)</f>
        <v>12543258</v>
      </c>
      <c r="G21" s="53" t="n">
        <f aca="false">+F21*$E21</f>
        <v>7681777.3627539</v>
      </c>
      <c r="H21" s="81" t="n">
        <f aca="false">+$H$6*($C21-$B21+1)</f>
        <v>14756742</v>
      </c>
      <c r="I21" s="53" t="n">
        <f aca="false">+H21*$E21</f>
        <v>9037365.46307186</v>
      </c>
      <c r="J21" s="25" t="n">
        <f aca="false">+H21+F21</f>
        <v>27300000</v>
      </c>
      <c r="K21" s="53" t="n">
        <f aca="false">+I21+G21</f>
        <v>16719142.8258258</v>
      </c>
      <c r="M21" s="82" t="n">
        <v>16719142.8258258</v>
      </c>
    </row>
    <row r="22" customFormat="false" ht="12.75" hidden="false" customHeight="false" outlineLevel="0" collapsed="false">
      <c r="A22" s="80" t="n">
        <f aca="false">+A21+1</f>
        <v>15</v>
      </c>
      <c r="B22" s="83" t="n">
        <v>38169</v>
      </c>
      <c r="C22" s="83" t="n">
        <v>38260</v>
      </c>
      <c r="D22" s="83" t="n">
        <v>38306</v>
      </c>
      <c r="E22" s="84" t="n">
        <f aca="false">+M22/J22</f>
        <v>0.613338118157557</v>
      </c>
      <c r="F22" s="81" t="n">
        <f aca="false">+$F$6*($C22-$B22+1)</f>
        <v>12681096</v>
      </c>
      <c r="G22" s="53" t="n">
        <f aca="false">+F22*$E22</f>
        <v>7777799.55681533</v>
      </c>
      <c r="H22" s="81" t="n">
        <f aca="false">+$H$6*($C22-$B22+1)</f>
        <v>14918904</v>
      </c>
      <c r="I22" s="53" t="n">
        <f aca="false">+H22*$E22</f>
        <v>9150332.50433325</v>
      </c>
      <c r="J22" s="25" t="n">
        <f aca="false">+H22+F22</f>
        <v>27600000</v>
      </c>
      <c r="K22" s="53" t="n">
        <f aca="false">+I22+G22</f>
        <v>16928132.0611486</v>
      </c>
      <c r="M22" s="82" t="n">
        <v>16928132.0611486</v>
      </c>
    </row>
    <row r="23" customFormat="false" ht="12.75" hidden="false" customHeight="false" outlineLevel="0" collapsed="false">
      <c r="A23" s="80" t="n">
        <f aca="false">+A22+1</f>
        <v>16</v>
      </c>
      <c r="B23" s="83" t="n">
        <v>38261</v>
      </c>
      <c r="C23" s="83" t="n">
        <v>38352</v>
      </c>
      <c r="D23" s="83" t="n">
        <v>38398</v>
      </c>
      <c r="E23" s="84" t="n">
        <f aca="false">+M23/J23</f>
        <v>0.621004844634527</v>
      </c>
      <c r="F23" s="81" t="n">
        <f aca="false">+$F$6*($C23-$B23+1)</f>
        <v>12681096</v>
      </c>
      <c r="G23" s="53" t="n">
        <f aca="false">+F23*$E23</f>
        <v>7875022.05127552</v>
      </c>
      <c r="H23" s="81" t="n">
        <f aca="false">+$H$6*($C23-$B23+1)</f>
        <v>14918904</v>
      </c>
      <c r="I23" s="53" t="n">
        <f aca="false">+H23*$E23</f>
        <v>9264711.66063742</v>
      </c>
      <c r="J23" s="25" t="n">
        <f aca="false">+H23+F23</f>
        <v>27600000</v>
      </c>
      <c r="K23" s="53" t="n">
        <f aca="false">+I23+G23</f>
        <v>17139733.7119129</v>
      </c>
      <c r="M23" s="82" t="n">
        <v>17139733.7119129</v>
      </c>
    </row>
    <row r="24" customFormat="false" ht="12.75" hidden="false" customHeight="false" outlineLevel="0" collapsed="false">
      <c r="A24" s="80" t="n">
        <f aca="false">+A23+1</f>
        <v>17</v>
      </c>
      <c r="B24" s="83" t="n">
        <v>38353</v>
      </c>
      <c r="C24" s="83" t="n">
        <v>38442</v>
      </c>
      <c r="D24" s="83" t="n">
        <v>38487</v>
      </c>
      <c r="E24" s="84" t="n">
        <f aca="false">+M24/J24</f>
        <v>0.642740014196735</v>
      </c>
      <c r="F24" s="81" t="n">
        <f aca="false">+$F$6*($C24-$B24+1)</f>
        <v>12405420</v>
      </c>
      <c r="G24" s="53" t="n">
        <f aca="false">+F24*$E24</f>
        <v>7973459.82691646</v>
      </c>
      <c r="H24" s="81" t="n">
        <f aca="false">+$H$6*($C24-$B24+1)</f>
        <v>14594580</v>
      </c>
      <c r="I24" s="53" t="n">
        <f aca="false">+H24*$E24</f>
        <v>9380520.55639539</v>
      </c>
      <c r="J24" s="25" t="n">
        <f aca="false">+H24+F24</f>
        <v>27000000</v>
      </c>
      <c r="K24" s="53" t="n">
        <f aca="false">+I24+G24</f>
        <v>17353980.3833118</v>
      </c>
      <c r="M24" s="82" t="n">
        <v>17353980.3833118</v>
      </c>
    </row>
    <row r="25" customFormat="false" ht="12.75" hidden="false" customHeight="false" outlineLevel="0" collapsed="false">
      <c r="A25" s="80" t="n">
        <f aca="false">+A24+1</f>
        <v>18</v>
      </c>
      <c r="B25" s="83" t="n">
        <v>38443</v>
      </c>
      <c r="C25" s="83" t="n">
        <v>38533</v>
      </c>
      <c r="D25" s="83" t="n">
        <v>38579</v>
      </c>
      <c r="E25" s="84" t="n">
        <f aca="false">+M25/J25</f>
        <v>0.643622898831621</v>
      </c>
      <c r="F25" s="81" t="n">
        <f aca="false">+$F$6*($C25-$B25+1)</f>
        <v>12543258</v>
      </c>
      <c r="G25" s="53" t="n">
        <f aca="false">+F25*$E25</f>
        <v>8073128.07475292</v>
      </c>
      <c r="H25" s="81" t="n">
        <f aca="false">+$H$6*($C25-$B25+1)</f>
        <v>14756742</v>
      </c>
      <c r="I25" s="53" t="n">
        <f aca="false">+H25*$E25</f>
        <v>9497777.06335033</v>
      </c>
      <c r="J25" s="25" t="n">
        <f aca="false">+H25+F25</f>
        <v>27300000</v>
      </c>
      <c r="K25" s="53" t="n">
        <f aca="false">+I25+G25</f>
        <v>17570905.1381032</v>
      </c>
      <c r="M25" s="82" t="n">
        <v>17570905.1381032</v>
      </c>
    </row>
    <row r="26" customFormat="false" ht="12.75" hidden="false" customHeight="false" outlineLevel="0" collapsed="false">
      <c r="A26" s="80" t="n">
        <f aca="false">+A25+1</f>
        <v>19</v>
      </c>
      <c r="B26" s="83" t="n">
        <v>38534</v>
      </c>
      <c r="C26" s="83" t="n">
        <v>38625</v>
      </c>
      <c r="D26" s="83" t="n">
        <v>38671</v>
      </c>
      <c r="E26" s="84" t="n">
        <f aca="false">+M26/J26</f>
        <v>0.644584835229331</v>
      </c>
      <c r="F26" s="81" t="n">
        <f aca="false">+$F$6*($C26-$B26+1)</f>
        <v>12681096</v>
      </c>
      <c r="G26" s="53" t="n">
        <f aca="false">+F26*$E26</f>
        <v>8174042.17568733</v>
      </c>
      <c r="H26" s="81" t="n">
        <f aca="false">+$H$6*($C26-$B26+1)</f>
        <v>14918904</v>
      </c>
      <c r="I26" s="53" t="n">
        <f aca="false">+H26*$E26</f>
        <v>9616499.27664221</v>
      </c>
      <c r="J26" s="25" t="n">
        <f aca="false">+H26+F26</f>
        <v>27600000</v>
      </c>
      <c r="K26" s="53" t="n">
        <f aca="false">+I26+G26</f>
        <v>17790541.4523295</v>
      </c>
      <c r="M26" s="82" t="n">
        <v>17790541.4523295</v>
      </c>
    </row>
    <row r="27" customFormat="false" ht="12.75" hidden="false" customHeight="false" outlineLevel="0" collapsed="false">
      <c r="A27" s="80" t="n">
        <f aca="false">+A26+1</f>
        <v>20</v>
      </c>
      <c r="B27" s="83" t="n">
        <v>38626</v>
      </c>
      <c r="C27" s="83" t="n">
        <v>38717</v>
      </c>
      <c r="D27" s="83" t="n">
        <v>38763</v>
      </c>
      <c r="E27" s="84" t="n">
        <f aca="false">+M27/J27</f>
        <v>0.652642145669698</v>
      </c>
      <c r="F27" s="81" t="n">
        <f aca="false">+$F$6*($C27-$B27+1)</f>
        <v>12681096</v>
      </c>
      <c r="G27" s="53" t="n">
        <f aca="false">+F27*$E27</f>
        <v>8276217.70288342</v>
      </c>
      <c r="H27" s="81" t="n">
        <f aca="false">+$H$6*($C27-$B27+1)</f>
        <v>14918904</v>
      </c>
      <c r="I27" s="53" t="n">
        <f aca="false">+H27*$E27</f>
        <v>9736705.51760023</v>
      </c>
      <c r="J27" s="25" t="n">
        <f aca="false">+H27+F27</f>
        <v>27600000</v>
      </c>
      <c r="K27" s="53" t="n">
        <f aca="false">+I27+G27</f>
        <v>18012923.2204837</v>
      </c>
      <c r="M27" s="82" t="n">
        <v>18012923.2204837</v>
      </c>
    </row>
    <row r="28" customFormat="false" ht="12.75" hidden="false" customHeight="false" outlineLevel="0" collapsed="false">
      <c r="A28" s="80" t="n">
        <f aca="false">+A27+1</f>
        <v>21</v>
      </c>
      <c r="B28" s="83" t="n">
        <v>38718</v>
      </c>
      <c r="C28" s="83" t="n">
        <v>38807</v>
      </c>
      <c r="D28" s="83" t="n">
        <v>38852</v>
      </c>
      <c r="E28" s="84" t="n">
        <f aca="false">+M28/J28</f>
        <v>0.675484620768137</v>
      </c>
      <c r="F28" s="81" t="n">
        <f aca="false">+$F$6*($C28-$B28+1)</f>
        <v>12405420</v>
      </c>
      <c r="G28" s="53" t="n">
        <f aca="false">+F28*$E28</f>
        <v>8379670.42416946</v>
      </c>
      <c r="H28" s="81" t="n">
        <f aca="false">+$H$6*($C28-$B28+1)</f>
        <v>14594580</v>
      </c>
      <c r="I28" s="53" t="n">
        <f aca="false">+H28*$E28</f>
        <v>9858414.33657024</v>
      </c>
      <c r="J28" s="25" t="n">
        <f aca="false">+H28+F28</f>
        <v>27000000</v>
      </c>
      <c r="K28" s="53" t="n">
        <f aca="false">+I28+G28</f>
        <v>18238084.7607397</v>
      </c>
      <c r="M28" s="82" t="n">
        <v>18238084.7607397</v>
      </c>
    </row>
    <row r="29" customFormat="false" ht="12.75" hidden="false" customHeight="false" outlineLevel="0" collapsed="false">
      <c r="A29" s="80" t="n">
        <f aca="false">+A28+1</f>
        <v>22</v>
      </c>
      <c r="B29" s="83" t="n">
        <v>38808</v>
      </c>
      <c r="C29" s="83" t="n">
        <v>38898</v>
      </c>
      <c r="D29" s="83" t="n">
        <v>38944</v>
      </c>
      <c r="E29" s="84" t="n">
        <f aca="false">+M29/J29</f>
        <v>0.676412484258203</v>
      </c>
      <c r="F29" s="81" t="n">
        <f aca="false">+$F$6*($C29-$B29+1)</f>
        <v>12543258</v>
      </c>
      <c r="G29" s="53" t="n">
        <f aca="false">+F29*$E29</f>
        <v>8484416.30447158</v>
      </c>
      <c r="H29" s="81" t="n">
        <f aca="false">+$H$6*($C29-$B29+1)</f>
        <v>14756742</v>
      </c>
      <c r="I29" s="53" t="n">
        <f aca="false">+H29*$E29</f>
        <v>9981644.51577736</v>
      </c>
      <c r="J29" s="25" t="n">
        <f aca="false">+H29+F29</f>
        <v>27300000</v>
      </c>
      <c r="K29" s="53" t="n">
        <f aca="false">+I29+G29</f>
        <v>18466060.8202489</v>
      </c>
      <c r="M29" s="82" t="n">
        <v>18466060.8202489</v>
      </c>
    </row>
    <row r="30" customFormat="false" ht="12.75" hidden="false" customHeight="false" outlineLevel="0" collapsed="false">
      <c r="A30" s="80" t="n">
        <f aca="false">+A29+1</f>
        <v>23</v>
      </c>
      <c r="B30" s="83" t="n">
        <v>38899</v>
      </c>
      <c r="C30" s="83" t="n">
        <v>38990</v>
      </c>
      <c r="D30" s="83" t="n">
        <v>39036</v>
      </c>
      <c r="E30" s="84" t="n">
        <f aca="false">+M30/J30</f>
        <v>0.677423426829785</v>
      </c>
      <c r="F30" s="81" t="n">
        <f aca="false">+$F$6*($C30-$B30+1)</f>
        <v>12681096</v>
      </c>
      <c r="G30" s="53" t="n">
        <f aca="false">+F30*$E30</f>
        <v>8590471.50827747</v>
      </c>
      <c r="H30" s="81" t="n">
        <f aca="false">+$H$6*($C30-$B30+1)</f>
        <v>14918904</v>
      </c>
      <c r="I30" s="53" t="n">
        <f aca="false">+H30*$E30</f>
        <v>10106415.0722246</v>
      </c>
      <c r="J30" s="25" t="n">
        <f aca="false">+H30+F30</f>
        <v>27600000</v>
      </c>
      <c r="K30" s="53" t="n">
        <f aca="false">+I30+G30</f>
        <v>18696886.5805021</v>
      </c>
      <c r="M30" s="82" t="n">
        <v>18696886.5805021</v>
      </c>
    </row>
    <row r="31" customFormat="false" ht="12.75" hidden="false" customHeight="false" outlineLevel="0" collapsed="false">
      <c r="A31" s="80" t="n">
        <f aca="false">+A30+1</f>
        <v>24</v>
      </c>
      <c r="B31" s="83" t="n">
        <v>38991</v>
      </c>
      <c r="C31" s="83" t="n">
        <v>39082</v>
      </c>
      <c r="D31" s="83" t="n">
        <v>39128</v>
      </c>
      <c r="E31" s="84" t="n">
        <f aca="false">+M31/J31</f>
        <v>0.685891219665157</v>
      </c>
      <c r="F31" s="81" t="n">
        <f aca="false">+$F$6*($C31-$B31+1)</f>
        <v>12681096</v>
      </c>
      <c r="G31" s="53" t="n">
        <f aca="false">+F31*$E31</f>
        <v>8697852.40213094</v>
      </c>
      <c r="H31" s="81" t="n">
        <f aca="false">+$H$6*($C31-$B31+1)</f>
        <v>14918904</v>
      </c>
      <c r="I31" s="53" t="n">
        <f aca="false">+H31*$E31</f>
        <v>10232745.2606274</v>
      </c>
      <c r="J31" s="25" t="n">
        <f aca="false">+H31+F31</f>
        <v>27600000</v>
      </c>
      <c r="K31" s="53" t="n">
        <f aca="false">+I31+G31</f>
        <v>18930597.6627583</v>
      </c>
      <c r="M31" s="82" t="n">
        <v>18930597.6627583</v>
      </c>
    </row>
    <row r="32" customFormat="false" ht="12.75" hidden="false" customHeight="false" outlineLevel="0" collapsed="false">
      <c r="A32" s="80" t="n">
        <f aca="false">+A31+1</f>
        <v>25</v>
      </c>
      <c r="B32" s="83" t="n">
        <v>39083</v>
      </c>
      <c r="C32" s="83" t="n">
        <v>39172</v>
      </c>
      <c r="D32" s="83" t="n">
        <v>39217</v>
      </c>
      <c r="E32" s="84" t="n">
        <f aca="false">+M32/J32</f>
        <v>0.709897412353437</v>
      </c>
      <c r="F32" s="81" t="n">
        <f aca="false">+$F$6*($C32-$B32+1)</f>
        <v>12405420</v>
      </c>
      <c r="G32" s="53" t="n">
        <f aca="false">+F32*$E32</f>
        <v>8806575.55715758</v>
      </c>
      <c r="H32" s="81" t="n">
        <f aca="false">+$H$6*($C32-$B32+1)</f>
        <v>14594580</v>
      </c>
      <c r="I32" s="53" t="n">
        <f aca="false">+H32*$E32</f>
        <v>10360654.5763852</v>
      </c>
      <c r="J32" s="25" t="n">
        <f aca="false">+H32+F32</f>
        <v>27000000</v>
      </c>
      <c r="K32" s="53" t="n">
        <f aca="false">+I32+G32</f>
        <v>19167230.1335428</v>
      </c>
      <c r="M32" s="82" t="n">
        <v>19167230.1335428</v>
      </c>
    </row>
    <row r="33" customFormat="false" ht="12.75" hidden="false" customHeight="false" outlineLevel="0" collapsed="false">
      <c r="A33" s="80" t="n">
        <f aca="false">+A32+1</f>
        <v>26</v>
      </c>
      <c r="B33" s="83" t="n">
        <v>39173</v>
      </c>
      <c r="C33" s="83" t="n">
        <v>39263</v>
      </c>
      <c r="D33" s="83" t="n">
        <v>39309</v>
      </c>
      <c r="E33" s="84" t="n">
        <f aca="false">+M33/J33</f>
        <v>0.710872546161615</v>
      </c>
      <c r="F33" s="81" t="n">
        <f aca="false">+$F$6*($C33-$B33+1)</f>
        <v>12543258</v>
      </c>
      <c r="G33" s="53" t="n">
        <f aca="false">+F33*$E33</f>
        <v>8916657.75162205</v>
      </c>
      <c r="H33" s="81" t="n">
        <f aca="false">+$H$6*($C33-$B33+1)</f>
        <v>14756742</v>
      </c>
      <c r="I33" s="53" t="n">
        <f aca="false">+H33*$E33</f>
        <v>10490162.75859</v>
      </c>
      <c r="J33" s="25" t="n">
        <f aca="false">+H33+F33</f>
        <v>27300000</v>
      </c>
      <c r="K33" s="53" t="n">
        <f aca="false">+I33+G33</f>
        <v>19406820.5102121</v>
      </c>
      <c r="M33" s="82" t="n">
        <v>19406820.5102121</v>
      </c>
    </row>
    <row r="34" customFormat="false" ht="12.75" hidden="false" customHeight="false" outlineLevel="0" collapsed="false">
      <c r="A34" s="80" t="n">
        <f aca="false">+A33+1</f>
        <v>27</v>
      </c>
      <c r="B34" s="83" t="n">
        <v>39264</v>
      </c>
      <c r="C34" s="83" t="n">
        <v>39355</v>
      </c>
      <c r="D34" s="83" t="n">
        <v>39401</v>
      </c>
      <c r="E34" s="84" t="n">
        <f aca="false">+M34/J34</f>
        <v>0.711934991543107</v>
      </c>
      <c r="F34" s="81" t="n">
        <f aca="false">+$F$6*($C34-$B34+1)</f>
        <v>12681096</v>
      </c>
      <c r="G34" s="53" t="n">
        <f aca="false">+F34*$E34</f>
        <v>9028115.97351732</v>
      </c>
      <c r="H34" s="81" t="n">
        <f aca="false">+$H$6*($C34-$B34+1)</f>
        <v>14918904</v>
      </c>
      <c r="I34" s="53" t="n">
        <f aca="false">+H34*$E34</f>
        <v>10621289.7930724</v>
      </c>
      <c r="J34" s="25" t="n">
        <f aca="false">+H34+F34</f>
        <v>27600000</v>
      </c>
      <c r="K34" s="53" t="n">
        <f aca="false">+I34+G34</f>
        <v>19649405.7665897</v>
      </c>
      <c r="M34" s="82" t="n">
        <v>19649405.7665897</v>
      </c>
    </row>
    <row r="35" customFormat="false" ht="12.75" hidden="false" customHeight="false" outlineLevel="0" collapsed="false">
      <c r="A35" s="80" t="n">
        <f aca="false">+A34+1</f>
        <v>28</v>
      </c>
      <c r="B35" s="83" t="n">
        <v>39356</v>
      </c>
      <c r="C35" s="83" t="n">
        <v>39447</v>
      </c>
      <c r="D35" s="83" t="n">
        <v>39493</v>
      </c>
      <c r="E35" s="84" t="n">
        <f aca="false">+M35/J35</f>
        <v>0.720834178937395</v>
      </c>
      <c r="F35" s="81" t="n">
        <f aca="false">+$F$6*($C35-$B35+1)</f>
        <v>12681096</v>
      </c>
      <c r="G35" s="53" t="n">
        <f aca="false">+F35*$E35</f>
        <v>9140967.42318629</v>
      </c>
      <c r="H35" s="81" t="n">
        <f aca="false">+$H$6*($C35-$B35+1)</f>
        <v>14918904</v>
      </c>
      <c r="I35" s="53" t="n">
        <f aca="false">+H35*$E35</f>
        <v>10754055.9154858</v>
      </c>
      <c r="J35" s="25" t="n">
        <f aca="false">+H35+F35</f>
        <v>27600000</v>
      </c>
      <c r="K35" s="53" t="n">
        <f aca="false">+I35+G35</f>
        <v>19895023.3386721</v>
      </c>
      <c r="M35" s="82" t="n">
        <v>19895023.3386721</v>
      </c>
    </row>
    <row r="36" customFormat="false" ht="12.75" hidden="false" customHeight="false" outlineLevel="0" collapsed="false">
      <c r="A36" s="80"/>
      <c r="D36" s="69"/>
      <c r="E36" s="50"/>
      <c r="F36" s="14"/>
      <c r="G36" s="50"/>
      <c r="H36" s="14"/>
      <c r="I36" s="50"/>
      <c r="K36" s="50"/>
    </row>
    <row r="37" customFormat="false" ht="12.75" hidden="false" customHeight="false" outlineLevel="0" collapsed="false">
      <c r="A37" s="85" t="s">
        <v>76</v>
      </c>
      <c r="B37" s="86"/>
      <c r="C37" s="86"/>
      <c r="D37" s="86"/>
      <c r="E37" s="87"/>
      <c r="F37" s="88" t="n">
        <f aca="false">SUM(F8:F35)</f>
        <v>352313928</v>
      </c>
      <c r="G37" s="19" t="n">
        <f aca="false">SUM(G8:G35)</f>
        <v>217521196.533489</v>
      </c>
      <c r="H37" s="88" t="n">
        <f aca="false">SUM(H8:H35)</f>
        <v>414486072</v>
      </c>
      <c r="I37" s="20" t="n">
        <f aca="false">SUM(I8:I35)</f>
        <v>255906733.065364</v>
      </c>
      <c r="J37" s="88" t="n">
        <f aca="false">SUM(J8:J35)</f>
        <v>766800000</v>
      </c>
      <c r="K37" s="73" t="n">
        <f aca="false">SUM(K8:K35)</f>
        <v>473427929.598854</v>
      </c>
    </row>
    <row r="39" customFormat="false" ht="12.75" hidden="false" customHeight="false" outlineLevel="0" collapsed="false">
      <c r="J39" s="69"/>
    </row>
    <row r="40" customFormat="false" ht="12.75" hidden="false" customHeight="false" outlineLevel="0" collapsed="false">
      <c r="A40" s="6" t="s">
        <v>52</v>
      </c>
      <c r="B40" s="75"/>
    </row>
    <row r="41" customFormat="false" ht="12.75" hidden="false" customHeight="false" outlineLevel="0" collapsed="false">
      <c r="A41" s="89" t="s">
        <v>77</v>
      </c>
      <c r="B41" s="90"/>
      <c r="C41" s="91"/>
      <c r="G41" s="5"/>
    </row>
    <row r="42" customFormat="false" ht="12.75" hidden="false" customHeight="false" outlineLevel="0" collapsed="false">
      <c r="A42" s="78" t="s">
        <v>78</v>
      </c>
      <c r="B42" s="77" t="s">
        <v>79</v>
      </c>
      <c r="C42" s="50"/>
      <c r="G42" s="5"/>
    </row>
    <row r="43" customFormat="false" ht="12.75" hidden="false" customHeight="false" outlineLevel="0" collapsed="false">
      <c r="A43" s="92" t="s">
        <v>80</v>
      </c>
      <c r="B43" s="83" t="n">
        <v>37256</v>
      </c>
      <c r="C43" s="53" t="n">
        <v>26103000</v>
      </c>
      <c r="G43" s="82"/>
    </row>
    <row r="44" customFormat="false" ht="12.75" hidden="false" customHeight="false" outlineLevel="0" collapsed="false">
      <c r="A44" s="92" t="n">
        <f aca="false">+B43</f>
        <v>37256</v>
      </c>
      <c r="B44" s="83" t="n">
        <v>37621</v>
      </c>
      <c r="C44" s="53" t="n">
        <v>29235360</v>
      </c>
      <c r="G44" s="82"/>
    </row>
    <row r="45" customFormat="false" ht="12.75" hidden="false" customHeight="false" outlineLevel="0" collapsed="false">
      <c r="A45" s="92" t="n">
        <f aca="false">+B44</f>
        <v>37621</v>
      </c>
      <c r="B45" s="83" t="n">
        <v>37986</v>
      </c>
      <c r="C45" s="53" t="n">
        <v>32743603.2</v>
      </c>
      <c r="G45" s="82"/>
    </row>
    <row r="46" customFormat="false" ht="12.75" hidden="false" customHeight="false" outlineLevel="0" collapsed="false">
      <c r="A46" s="85" t="s">
        <v>81</v>
      </c>
      <c r="B46" s="85"/>
      <c r="C46" s="20" t="n">
        <v>36672835.584</v>
      </c>
      <c r="G46" s="82"/>
    </row>
  </sheetData>
  <mergeCells count="6">
    <mergeCell ref="A3:E3"/>
    <mergeCell ref="F3:G3"/>
    <mergeCell ref="H3:I3"/>
    <mergeCell ref="J3:K3"/>
    <mergeCell ref="B4:C4"/>
    <mergeCell ref="A46:B46"/>
  </mergeCells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&amp;R11-02-00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A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32" activeCellId="0" sqref="I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7"/>
    <col collapsed="false" customWidth="true" hidden="false" outlineLevel="0" max="2" min="2" style="0" width="4.85"/>
    <col collapsed="false" customWidth="true" hidden="false" outlineLevel="0" max="3" min="3" style="0" width="11.13"/>
    <col collapsed="false" customWidth="true" hidden="false" outlineLevel="0" max="4" min="4" style="0" width="11.99"/>
    <col collapsed="false" customWidth="true" hidden="false" outlineLevel="0" max="5" min="5" style="0" width="11.28"/>
    <col collapsed="false" customWidth="true" hidden="false" outlineLevel="0" max="6" min="6" style="0" width="10.13"/>
    <col collapsed="false" customWidth="true" hidden="false" outlineLevel="0" max="7" min="7" style="0" width="10.85"/>
    <col collapsed="false" customWidth="true" hidden="false" outlineLevel="0" max="8" min="8" style="0" width="10.99"/>
    <col collapsed="false" customWidth="true" hidden="false" outlineLevel="0" max="9" min="9" style="0" width="10.13"/>
    <col collapsed="false" customWidth="true" hidden="false" outlineLevel="0" max="10" min="10" style="0" width="10.28"/>
    <col collapsed="false" customWidth="true" hidden="false" outlineLevel="0" max="18" min="11" style="0" width="10.13"/>
    <col collapsed="false" customWidth="true" hidden="false" outlineLevel="0" max="48" min="48" style="0" width="10.56"/>
    <col collapsed="false" customWidth="true" hidden="false" outlineLevel="0" max="52" min="52" style="0" width="9.85"/>
    <col collapsed="false" customWidth="true" hidden="false" outlineLevel="0" max="53" min="53" style="0" width="9.99"/>
  </cols>
  <sheetData>
    <row r="1" customFormat="false" ht="30" hidden="false" customHeight="false" outlineLevel="0" collapsed="false">
      <c r="A1" s="1" t="s">
        <v>0</v>
      </c>
      <c r="R1" s="93" t="n">
        <f aca="true">TODAY()</f>
        <v>45926</v>
      </c>
    </row>
    <row r="4" customFormat="false" ht="12.75" hidden="false" customHeight="false" outlineLevel="0" collapsed="false">
      <c r="A4" s="6" t="s">
        <v>82</v>
      </c>
    </row>
    <row r="6" customFormat="false" ht="12.75" hidden="false" customHeight="false" outlineLevel="0" collapsed="false">
      <c r="A6" s="0" t="s">
        <v>83</v>
      </c>
      <c r="E6" s="94" t="n">
        <v>36891</v>
      </c>
      <c r="F6" s="94" t="n">
        <v>37210</v>
      </c>
      <c r="G6" s="94" t="n">
        <v>37302</v>
      </c>
      <c r="H6" s="94" t="n">
        <v>37391</v>
      </c>
      <c r="I6" s="94" t="n">
        <v>37483</v>
      </c>
      <c r="J6" s="94" t="n">
        <v>37575</v>
      </c>
      <c r="K6" s="94" t="n">
        <v>37667</v>
      </c>
      <c r="L6" s="94" t="n">
        <v>37756</v>
      </c>
      <c r="M6" s="94" t="n">
        <v>37848</v>
      </c>
      <c r="N6" s="94" t="n">
        <v>37940</v>
      </c>
      <c r="O6" s="94" t="n">
        <v>38032</v>
      </c>
      <c r="P6" s="94" t="n">
        <v>38122</v>
      </c>
      <c r="Q6" s="94" t="n">
        <v>38214</v>
      </c>
      <c r="R6" s="94" t="n">
        <v>38306</v>
      </c>
      <c r="S6" s="94" t="n">
        <v>38398</v>
      </c>
      <c r="T6" s="94" t="n">
        <v>38487</v>
      </c>
      <c r="U6" s="94" t="n">
        <v>38579</v>
      </c>
      <c r="V6" s="94" t="n">
        <v>38671</v>
      </c>
      <c r="W6" s="94" t="n">
        <v>38763</v>
      </c>
      <c r="X6" s="94" t="n">
        <v>38852</v>
      </c>
      <c r="Y6" s="94" t="n">
        <v>38944</v>
      </c>
      <c r="Z6" s="94" t="n">
        <v>39036</v>
      </c>
      <c r="AA6" s="94" t="n">
        <v>39128</v>
      </c>
      <c r="AB6" s="94" t="n">
        <v>39217</v>
      </c>
      <c r="AC6" s="94" t="n">
        <v>39309</v>
      </c>
      <c r="AD6" s="94" t="n">
        <v>39401</v>
      </c>
      <c r="AE6" s="94" t="n">
        <v>39493</v>
      </c>
      <c r="AF6" s="94" t="n">
        <v>39583</v>
      </c>
      <c r="AG6" s="94" t="n">
        <v>39675</v>
      </c>
      <c r="AH6" s="94" t="n">
        <v>39767</v>
      </c>
      <c r="AI6" s="94" t="n">
        <v>39859</v>
      </c>
      <c r="AJ6" s="94" t="n">
        <v>39948</v>
      </c>
      <c r="AK6" s="94" t="n">
        <v>40040</v>
      </c>
      <c r="AL6" s="94" t="n">
        <v>40132</v>
      </c>
      <c r="AM6" s="94" t="n">
        <v>40224</v>
      </c>
      <c r="AN6" s="94" t="n">
        <v>40313</v>
      </c>
      <c r="AO6" s="94" t="n">
        <v>40405</v>
      </c>
      <c r="AP6" s="94" t="n">
        <v>40497</v>
      </c>
      <c r="AQ6" s="94" t="n">
        <v>40589</v>
      </c>
      <c r="AR6" s="94" t="n">
        <v>40678</v>
      </c>
      <c r="AS6" s="94" t="n">
        <v>40770</v>
      </c>
      <c r="AT6" s="94" t="n">
        <v>40862</v>
      </c>
      <c r="AU6" s="94" t="n">
        <v>40954</v>
      </c>
      <c r="AV6" s="94" t="n">
        <v>41044</v>
      </c>
      <c r="AW6" s="94" t="n">
        <v>41136</v>
      </c>
      <c r="AX6" s="94" t="n">
        <v>41228</v>
      </c>
      <c r="AY6" s="94" t="n">
        <v>41320</v>
      </c>
      <c r="AZ6" s="94" t="n">
        <v>41409</v>
      </c>
      <c r="BA6" s="94" t="n">
        <v>41501</v>
      </c>
    </row>
    <row r="8" customFormat="false" ht="12.75" hidden="false" customHeight="false" outlineLevel="0" collapsed="false">
      <c r="A8" s="0" t="s">
        <v>32</v>
      </c>
      <c r="E8" s="95" t="n">
        <v>0</v>
      </c>
      <c r="F8" s="95" t="n">
        <v>41927.1386429175</v>
      </c>
      <c r="G8" s="82" t="n">
        <f aca="false">+F8*(1+$E$10/4)</f>
        <v>42451.227875954</v>
      </c>
      <c r="H8" s="82" t="n">
        <f aca="false">+G8*(1+$E$10/4)</f>
        <v>42981.8682244034</v>
      </c>
      <c r="I8" s="82" t="n">
        <f aca="false">+H8*(1+$E$10/4)</f>
        <v>43519.1415772084</v>
      </c>
      <c r="J8" s="82" t="n">
        <f aca="false">+I8*(1+$E$10/4)</f>
        <v>44063.1308469235</v>
      </c>
      <c r="K8" s="82" t="n">
        <f aca="false">+J8*(1+$E$10/4)</f>
        <v>44613.9199825101</v>
      </c>
      <c r="L8" s="82" t="n">
        <f aca="false">+K8*(1+$E$10/4)</f>
        <v>45171.5939822915</v>
      </c>
      <c r="M8" s="82" t="n">
        <f aca="false">+L8*(1+$E$10/4)</f>
        <v>45736.2389070701</v>
      </c>
      <c r="N8" s="82" t="n">
        <f aca="false">+M8*(1+$E$10/4)</f>
        <v>46307.9418934085</v>
      </c>
      <c r="O8" s="82" t="n">
        <f aca="false">+N8*(1+$E$10/4)</f>
        <v>46886.7911670761</v>
      </c>
      <c r="P8" s="82" t="n">
        <f aca="false">+O8*(1+$E$10/4)</f>
        <v>47472.8760566645</v>
      </c>
      <c r="Q8" s="82" t="n">
        <f aca="false">+P8*(1+$E$10/4)</f>
        <v>48066.2870073728</v>
      </c>
      <c r="R8" s="82" t="n">
        <f aca="false">+Q8*(1+$E$10/4)</f>
        <v>48667.115594965</v>
      </c>
      <c r="S8" s="82" t="n">
        <f aca="false">+R8*(1+$E$10/4)</f>
        <v>49275.454539902</v>
      </c>
      <c r="T8" s="82" t="n">
        <f aca="false">+S8*(1+$E$10/4)</f>
        <v>49891.3977216508</v>
      </c>
      <c r="U8" s="82" t="n">
        <f aca="false">+T8*(1+$E$10/4)</f>
        <v>50515.0401931714</v>
      </c>
      <c r="V8" s="82" t="n">
        <f aca="false">+U8*(1+$E$10/4)</f>
        <v>51146.4781955861</v>
      </c>
      <c r="W8" s="82" t="n">
        <f aca="false">+V8*(1+$E$10/4)</f>
        <v>51785.8091730309</v>
      </c>
      <c r="X8" s="82" t="n">
        <f aca="false">+W8*(1+$E$10/4)</f>
        <v>52433.1317876938</v>
      </c>
      <c r="Y8" s="82" t="n">
        <f aca="false">+X8*(1+$E$10/4)</f>
        <v>53088.54593504</v>
      </c>
      <c r="Z8" s="82" t="n">
        <f aca="false">+Y8*(1+$E$10/4)</f>
        <v>53752.152759228</v>
      </c>
      <c r="AA8" s="82" t="n">
        <f aca="false">+Z8*(1+$E$10/4)</f>
        <v>54424.0546687183</v>
      </c>
      <c r="AB8" s="82" t="n">
        <f aca="false">+AA8*(1+$E$10/4)</f>
        <v>55104.3553520773</v>
      </c>
      <c r="AC8" s="82" t="n">
        <f aca="false">+AB8*(1+$E$10/4)</f>
        <v>55793.1597939782</v>
      </c>
      <c r="AD8" s="82" t="n">
        <f aca="false">+AC8*(1+$E$10/4)</f>
        <v>56490.574291403</v>
      </c>
      <c r="AE8" s="82" t="n">
        <f aca="false">+AD8*(1+$E$10/4)</f>
        <v>57196.7064700455</v>
      </c>
      <c r="AF8" s="82" t="n">
        <f aca="false">+AE8*(1+$E$10/4)</f>
        <v>57911.6653009211</v>
      </c>
      <c r="AG8" s="82" t="n">
        <f aca="false">+AF8*(1+$E$10/4)</f>
        <v>58635.5611171826</v>
      </c>
      <c r="AH8" s="82" t="n">
        <f aca="false">+AG8*(1+$E$10/4)</f>
        <v>59368.5056311473</v>
      </c>
      <c r="AI8" s="82" t="n">
        <f aca="false">+AH8*(1+$E$10/4)</f>
        <v>60110.6119515367</v>
      </c>
      <c r="AJ8" s="82" t="n">
        <f aca="false">+AI8*(1+$E$10/4)</f>
        <v>60861.9946009309</v>
      </c>
      <c r="AK8" s="82" t="n">
        <f aca="false">+AJ8*(1+$E$10/4)</f>
        <v>61622.7695334425</v>
      </c>
      <c r="AL8" s="82" t="n">
        <f aca="false">+AK8*(1+$E$10/4)</f>
        <v>62393.0541526106</v>
      </c>
      <c r="AM8" s="82" t="n">
        <f aca="false">+AL8*(1+$E$10/4)</f>
        <v>63172.9673295182</v>
      </c>
      <c r="AN8" s="82" t="n">
        <f aca="false">+AM8*(1+$E$10/4)</f>
        <v>63962.6294211372</v>
      </c>
      <c r="AO8" s="82" t="n">
        <f aca="false">+AN8*(1+$E$10/4)</f>
        <v>64762.1622889014</v>
      </c>
      <c r="AP8" s="82" t="n">
        <f aca="false">+AO8*(1+$E$10/4)</f>
        <v>65571.6893175126</v>
      </c>
      <c r="AQ8" s="82" t="n">
        <f aca="false">+AP8*(1+$E$10/4)</f>
        <v>66391.3354339815</v>
      </c>
      <c r="AR8" s="82" t="n">
        <f aca="false">+AQ8*(1+$E$10/4)</f>
        <v>67221.2271269063</v>
      </c>
      <c r="AS8" s="82" t="n">
        <f aca="false">+AR8*(1+$E$10/4)</f>
        <v>68061.4924659926</v>
      </c>
      <c r="AT8" s="82" t="n">
        <f aca="false">+AS8*(1+$E$10/4)</f>
        <v>68912.2611218175</v>
      </c>
      <c r="AU8" s="82" t="n">
        <f aca="false">+AT8*(1+$E$10/4)</f>
        <v>69773.6643858403</v>
      </c>
      <c r="AV8" s="82" t="n">
        <f aca="false">+AU8*(1+$E$10/4)</f>
        <v>70645.8351906633</v>
      </c>
      <c r="AW8" s="82" t="n">
        <f aca="false">+AV8*(1+$E$10/4)</f>
        <v>71528.9081305466</v>
      </c>
      <c r="AX8" s="82" t="n">
        <f aca="false">+AW8*(1+$E$10/4)</f>
        <v>72423.0194821784</v>
      </c>
      <c r="AY8" s="82" t="n">
        <f aca="false">+AX8*(1+$E$10/4)</f>
        <v>73328.3072257056</v>
      </c>
      <c r="AZ8" s="82" t="n">
        <f aca="false">+AY8*(1+$E$10/4)</f>
        <v>74244.9110660269</v>
      </c>
      <c r="BA8" s="82" t="n">
        <f aca="false">+AZ8*(1+$E$10/4)</f>
        <v>75172.9724543523</v>
      </c>
    </row>
    <row r="9" customFormat="false" ht="12.75" hidden="false" customHeight="false" outlineLevel="0" collapsed="false">
      <c r="E9" s="95"/>
      <c r="F9" s="95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</row>
    <row r="10" customFormat="false" ht="12.75" hidden="false" customHeight="false" outlineLevel="0" collapsed="false">
      <c r="B10" s="0" t="s">
        <v>84</v>
      </c>
      <c r="E10" s="43" t="n">
        <v>0.05</v>
      </c>
    </row>
    <row r="11" customFormat="false" ht="12.75" hidden="false" customHeight="false" outlineLevel="0" collapsed="false">
      <c r="G11" s="96" t="n">
        <v>36794</v>
      </c>
    </row>
    <row r="12" customFormat="false" ht="12.75" hidden="false" customHeight="false" outlineLevel="0" collapsed="false">
      <c r="B12" s="0" t="s">
        <v>85</v>
      </c>
      <c r="D12" s="97" t="n">
        <f aca="false">+Summary!G5</f>
        <v>0.085</v>
      </c>
      <c r="E12" s="82" t="n">
        <f aca="false">XNPV($D$12,E8:Q8,E$6:Q$6)</f>
        <v>448594.069523756</v>
      </c>
      <c r="G12" s="98" t="n">
        <v>162292</v>
      </c>
      <c r="J12" s="25"/>
    </row>
    <row r="13" customFormat="false" ht="12.75" hidden="false" customHeight="false" outlineLevel="0" collapsed="false">
      <c r="D13" s="43"/>
      <c r="E13" s="82" t="n">
        <v>377805</v>
      </c>
      <c r="G13" s="98" t="n">
        <v>153637</v>
      </c>
      <c r="J13" s="25"/>
    </row>
    <row r="15" customFormat="false" ht="12.75" hidden="false" customHeight="false" outlineLevel="0" collapsed="false">
      <c r="A15" s="0" t="s">
        <v>86</v>
      </c>
      <c r="E15" s="25" t="n">
        <v>0</v>
      </c>
      <c r="F15" s="25" t="n">
        <v>0</v>
      </c>
      <c r="G15" s="25" t="n">
        <v>0</v>
      </c>
      <c r="H15" s="25" t="n">
        <v>0</v>
      </c>
    </row>
    <row r="17" customFormat="false" ht="12.75" hidden="false" customHeight="false" outlineLevel="0" collapsed="false">
      <c r="B17" s="0" t="s">
        <v>85</v>
      </c>
      <c r="D17" s="99" t="n">
        <f aca="false">+D12</f>
        <v>0.085</v>
      </c>
      <c r="E17" s="82" t="n">
        <f aca="false">XNPV($D$17,E$15:$H15,E$6:$H6)</f>
        <v>0</v>
      </c>
      <c r="G17" s="98" t="n">
        <v>14685</v>
      </c>
      <c r="J17" s="82"/>
    </row>
    <row r="18" customFormat="false" ht="12.75" hidden="false" customHeight="false" outlineLevel="0" collapsed="false">
      <c r="D18" s="99"/>
      <c r="E18" s="82"/>
      <c r="G18" s="98" t="n">
        <v>14441</v>
      </c>
      <c r="J18" s="82"/>
    </row>
    <row r="19" customFormat="false" ht="12.75" hidden="false" customHeight="false" outlineLevel="0" collapsed="false">
      <c r="C19" s="99"/>
      <c r="D19" s="82"/>
      <c r="E19" s="25"/>
      <c r="F19" s="25"/>
      <c r="G19" s="25"/>
      <c r="H19" s="25"/>
    </row>
    <row r="20" customFormat="false" ht="12.75" hidden="false" customHeight="false" outlineLevel="0" collapsed="false">
      <c r="A20" s="0" t="s">
        <v>87</v>
      </c>
      <c r="B20" s="99"/>
      <c r="D20" s="82"/>
      <c r="E20" s="94" t="n">
        <f aca="false">+Summary!G6</f>
        <v>36891</v>
      </c>
      <c r="F20" s="94" t="n">
        <v>37256</v>
      </c>
      <c r="G20" s="94" t="n">
        <v>37621</v>
      </c>
      <c r="H20" s="94" t="n">
        <v>37986</v>
      </c>
      <c r="I20" s="94" t="n">
        <v>38352</v>
      </c>
      <c r="J20" s="94" t="n">
        <v>38717</v>
      </c>
      <c r="K20" s="94" t="n">
        <v>39082</v>
      </c>
      <c r="L20" s="94" t="n">
        <v>39447</v>
      </c>
      <c r="M20" s="94" t="n">
        <v>39813</v>
      </c>
      <c r="N20" s="94" t="n">
        <v>40178</v>
      </c>
      <c r="O20" s="94" t="n">
        <v>40543</v>
      </c>
      <c r="P20" s="94" t="n">
        <v>40908</v>
      </c>
      <c r="Q20" s="94" t="n">
        <f aca="false">+Q6</f>
        <v>38214</v>
      </c>
      <c r="R20" s="100" t="n">
        <v>41639</v>
      </c>
    </row>
    <row r="21" customFormat="false" ht="12.75" hidden="false" customHeight="false" outlineLevel="0" collapsed="false">
      <c r="B21" s="99"/>
      <c r="D21" s="82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100"/>
    </row>
    <row r="22" customFormat="false" ht="12.75" hidden="false" customHeight="false" outlineLevel="0" collapsed="false">
      <c r="A22" s="0" t="s">
        <v>88</v>
      </c>
      <c r="B22" s="99"/>
      <c r="D22" s="82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100"/>
    </row>
    <row r="23" customFormat="false" ht="12.75" hidden="false" customHeight="false" outlineLevel="0" collapsed="false">
      <c r="B23" s="99" t="s">
        <v>89</v>
      </c>
      <c r="D23" s="82"/>
      <c r="E23" s="94"/>
      <c r="F23" s="82" t="n">
        <v>678</v>
      </c>
      <c r="G23" s="82" t="n">
        <v>678</v>
      </c>
      <c r="H23" s="82" t="n">
        <v>678</v>
      </c>
      <c r="I23" s="82" t="n">
        <v>678</v>
      </c>
      <c r="J23" s="82" t="n">
        <v>678</v>
      </c>
      <c r="K23" s="82" t="n">
        <v>678</v>
      </c>
      <c r="L23" s="82" t="n">
        <v>678</v>
      </c>
      <c r="M23" s="82" t="n">
        <v>678</v>
      </c>
      <c r="N23" s="82" t="n">
        <v>678</v>
      </c>
      <c r="O23" s="82" t="n">
        <v>678</v>
      </c>
      <c r="P23" s="82" t="n">
        <v>678</v>
      </c>
      <c r="Q23" s="82" t="n">
        <v>678</v>
      </c>
      <c r="R23" s="100"/>
    </row>
    <row r="24" customFormat="false" ht="12.75" hidden="false" customHeight="false" outlineLevel="0" collapsed="false">
      <c r="B24" s="99" t="s">
        <v>90</v>
      </c>
      <c r="D24" s="82"/>
      <c r="E24" s="94"/>
      <c r="F24" s="82" t="n">
        <v>0</v>
      </c>
      <c r="G24" s="82" t="n">
        <v>0</v>
      </c>
      <c r="H24" s="82" t="n">
        <v>0</v>
      </c>
      <c r="I24" s="82" t="n">
        <v>0</v>
      </c>
      <c r="J24" s="82" t="n">
        <v>0</v>
      </c>
      <c r="K24" s="82" t="n">
        <v>0</v>
      </c>
      <c r="L24" s="82" t="n">
        <v>0</v>
      </c>
      <c r="M24" s="82" t="n">
        <v>0</v>
      </c>
      <c r="N24" s="82" t="n">
        <v>0</v>
      </c>
      <c r="O24" s="82" t="n">
        <v>0</v>
      </c>
      <c r="P24" s="82" t="n">
        <v>0</v>
      </c>
      <c r="Q24" s="82" t="n">
        <v>0</v>
      </c>
      <c r="R24" s="100"/>
    </row>
    <row r="25" customFormat="false" ht="15" hidden="false" customHeight="false" outlineLevel="0" collapsed="false">
      <c r="B25" s="99" t="s">
        <v>91</v>
      </c>
      <c r="D25" s="82"/>
      <c r="E25" s="25"/>
      <c r="F25" s="57" t="n">
        <v>0</v>
      </c>
      <c r="G25" s="57" t="n">
        <v>0</v>
      </c>
      <c r="H25" s="57" t="n">
        <v>0</v>
      </c>
      <c r="I25" s="57" t="n">
        <v>0</v>
      </c>
      <c r="J25" s="57" t="n">
        <v>0</v>
      </c>
      <c r="K25" s="57" t="n">
        <v>0</v>
      </c>
      <c r="L25" s="57" t="n">
        <v>0</v>
      </c>
      <c r="M25" s="57" t="n">
        <v>0</v>
      </c>
      <c r="N25" s="57" t="n">
        <v>0</v>
      </c>
      <c r="O25" s="57" t="n">
        <v>0</v>
      </c>
      <c r="P25" s="57" t="n">
        <v>0</v>
      </c>
      <c r="Q25" s="57" t="n">
        <v>0</v>
      </c>
    </row>
    <row r="26" customFormat="false" ht="12.75" hidden="false" customHeight="false" outlineLevel="0" collapsed="false">
      <c r="C26" s="99" t="s">
        <v>29</v>
      </c>
      <c r="D26" s="82"/>
      <c r="E26" s="25"/>
      <c r="F26" s="25" t="n">
        <f aca="false">SUM(F23:F25)</f>
        <v>678</v>
      </c>
      <c r="G26" s="25" t="n">
        <f aca="false">SUM(G23:G25)</f>
        <v>678</v>
      </c>
      <c r="H26" s="25" t="n">
        <f aca="false">SUM(H23:H25)</f>
        <v>678</v>
      </c>
      <c r="I26" s="25" t="n">
        <f aca="false">SUM(I23:I25)</f>
        <v>678</v>
      </c>
      <c r="J26" s="25" t="n">
        <f aca="false">SUM(J23:J25)</f>
        <v>678</v>
      </c>
      <c r="K26" s="25" t="n">
        <f aca="false">SUM(K23:K25)</f>
        <v>678</v>
      </c>
      <c r="L26" s="25" t="n">
        <f aca="false">SUM(L23:L25)</f>
        <v>678</v>
      </c>
      <c r="M26" s="25" t="n">
        <f aca="false">SUM(M23:M25)</f>
        <v>678</v>
      </c>
      <c r="N26" s="25" t="n">
        <f aca="false">SUM(N23:N25)</f>
        <v>678</v>
      </c>
      <c r="O26" s="25" t="n">
        <f aca="false">SUM(O23:O25)</f>
        <v>678</v>
      </c>
      <c r="P26" s="25" t="n">
        <f aca="false">SUM(P23:P25)</f>
        <v>678</v>
      </c>
      <c r="Q26" s="25" t="n">
        <f aca="false">SUM(Q23:Q25)</f>
        <v>678</v>
      </c>
    </row>
    <row r="27" customFormat="false" ht="12.75" hidden="false" customHeight="false" outlineLevel="0" collapsed="false">
      <c r="C27" s="99"/>
      <c r="D27" s="82"/>
      <c r="E27" s="25"/>
      <c r="F27" s="25"/>
      <c r="G27" s="25"/>
      <c r="H27" s="25"/>
    </row>
    <row r="28" customFormat="false" ht="12.75" hidden="false" customHeight="false" outlineLevel="0" collapsed="false">
      <c r="A28" s="0" t="s">
        <v>92</v>
      </c>
      <c r="D28" s="25"/>
      <c r="F28" s="101" t="n">
        <f aca="false">+Summary!G17</f>
        <v>38.5</v>
      </c>
      <c r="G28" s="102" t="n">
        <f aca="false">+F28*(1+G30)</f>
        <v>43.12</v>
      </c>
      <c r="H28" s="102" t="n">
        <f aca="false">+G28*(1+H30)</f>
        <v>48.2944</v>
      </c>
      <c r="I28" s="102" t="n">
        <f aca="false">+H28*(1+I30)</f>
        <v>54.089728</v>
      </c>
      <c r="J28" s="102" t="n">
        <f aca="false">+I28*(1+J30)</f>
        <v>54.089728</v>
      </c>
      <c r="K28" s="102" t="n">
        <f aca="false">+J28*(1+K30)</f>
        <v>54.089728</v>
      </c>
      <c r="L28" s="102" t="n">
        <f aca="false">+K28*(1+L30)</f>
        <v>54.089728</v>
      </c>
      <c r="M28" s="102" t="n">
        <f aca="false">+L28*(1+M30)</f>
        <v>54.089728</v>
      </c>
      <c r="N28" s="102" t="n">
        <f aca="false">+M28*(1+N30)</f>
        <v>54.089728</v>
      </c>
      <c r="O28" s="102" t="n">
        <f aca="false">+N28*(1+O30)</f>
        <v>54.089728</v>
      </c>
      <c r="P28" s="102" t="n">
        <f aca="false">+O28*(1+P30)</f>
        <v>54.089728</v>
      </c>
      <c r="Q28" s="102" t="n">
        <f aca="false">+P28*(1+Q30)</f>
        <v>54.089728</v>
      </c>
      <c r="R28" s="102" t="n">
        <f aca="false">+Q28*(1+R30)</f>
        <v>54.089728</v>
      </c>
    </row>
    <row r="29" customFormat="false" ht="12.75" hidden="false" customHeight="false" outlineLevel="0" collapsed="false">
      <c r="C29" s="43"/>
      <c r="D29" s="25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</row>
    <row r="30" customFormat="false" ht="12.75" hidden="false" customHeight="false" outlineLevel="0" collapsed="false">
      <c r="B30" s="0" t="s">
        <v>84</v>
      </c>
      <c r="C30" s="43"/>
      <c r="D30" s="25"/>
      <c r="F30" s="43"/>
      <c r="G30" s="43" t="n">
        <v>0.12</v>
      </c>
      <c r="H30" s="43" t="n">
        <v>0.12</v>
      </c>
      <c r="I30" s="43" t="n">
        <v>0.12</v>
      </c>
      <c r="J30" s="43" t="n">
        <v>0</v>
      </c>
      <c r="K30" s="43" t="n">
        <v>0</v>
      </c>
      <c r="L30" s="43" t="n">
        <v>0</v>
      </c>
      <c r="M30" s="43" t="n">
        <v>0</v>
      </c>
      <c r="N30" s="43" t="n">
        <v>0</v>
      </c>
      <c r="O30" s="43" t="n">
        <v>0</v>
      </c>
      <c r="P30" s="43" t="n">
        <v>0</v>
      </c>
      <c r="Q30" s="43" t="n">
        <v>0</v>
      </c>
      <c r="R30" s="43" t="n">
        <v>0</v>
      </c>
    </row>
    <row r="31" customFormat="false" ht="12.75" hidden="false" customHeight="false" outlineLevel="0" collapsed="false">
      <c r="C31" s="99"/>
      <c r="D31" s="82"/>
      <c r="E31" s="25"/>
      <c r="F31" s="25"/>
      <c r="G31" s="25"/>
      <c r="H31" s="25"/>
    </row>
    <row r="32" customFormat="false" ht="12.75" hidden="false" customHeight="false" outlineLevel="0" collapsed="false">
      <c r="A32" s="0" t="s">
        <v>93</v>
      </c>
      <c r="C32" s="99"/>
      <c r="D32" s="82"/>
      <c r="E32" s="25" t="n">
        <v>0</v>
      </c>
      <c r="F32" s="25" t="n">
        <f aca="false">+F28*F26</f>
        <v>26103</v>
      </c>
      <c r="G32" s="25" t="n">
        <f aca="false">+G28*G26</f>
        <v>29235.36</v>
      </c>
      <c r="H32" s="25" t="n">
        <f aca="false">+H28*H26</f>
        <v>32743.6032</v>
      </c>
      <c r="I32" s="25" t="n">
        <f aca="false">+I28*I26</f>
        <v>36672.835584</v>
      </c>
      <c r="J32" s="25" t="n">
        <f aca="false">+J28*J26</f>
        <v>36672.835584</v>
      </c>
      <c r="K32" s="25" t="n">
        <f aca="false">+K28*K26</f>
        <v>36672.835584</v>
      </c>
      <c r="L32" s="25" t="n">
        <f aca="false">+L28*L26</f>
        <v>36672.835584</v>
      </c>
      <c r="M32" s="25" t="n">
        <f aca="false">+M28*M26</f>
        <v>36672.835584</v>
      </c>
      <c r="N32" s="25" t="n">
        <f aca="false">+N28*N26</f>
        <v>36672.835584</v>
      </c>
      <c r="O32" s="25" t="n">
        <f aca="false">+O28*O26</f>
        <v>36672.835584</v>
      </c>
      <c r="P32" s="25" t="n">
        <f aca="false">+P28*P26</f>
        <v>36672.835584</v>
      </c>
      <c r="Q32" s="25" t="n">
        <f aca="false">+Q28*Q26</f>
        <v>36672.835584</v>
      </c>
      <c r="R32" s="25" t="n">
        <f aca="false">+R28*R26</f>
        <v>0</v>
      </c>
    </row>
    <row r="33" customFormat="false" ht="12.75" hidden="false" customHeight="false" outlineLevel="0" collapsed="false">
      <c r="C33" s="99"/>
      <c r="D33" s="82"/>
      <c r="E33" s="25"/>
      <c r="F33" s="25"/>
      <c r="G33" s="25"/>
      <c r="H33" s="25"/>
    </row>
    <row r="34" customFormat="false" ht="12.75" hidden="false" customHeight="false" outlineLevel="0" collapsed="false">
      <c r="B34" s="0" t="s">
        <v>85</v>
      </c>
      <c r="D34" s="97" t="n">
        <f aca="false">+Summary!G7</f>
        <v>0.116</v>
      </c>
      <c r="F34" s="82" t="n">
        <f aca="false">+F$32/((1+$D34)^(YEAR(F$20)-YEAR($E$20)))</f>
        <v>23389.7849462366</v>
      </c>
      <c r="G34" s="82" t="n">
        <f aca="false">+G32/((1+$D$34)^(YEAR(G20)-YEAR($E$20)))</f>
        <v>23473.6193008826</v>
      </c>
      <c r="H34" s="82" t="n">
        <f aca="false">+H32/((1+$D$34)^(YEAR(H20)-YEAR($E$20)))</f>
        <v>23557.7541370864</v>
      </c>
      <c r="I34" s="82" t="n">
        <f aca="false">+I32/((1+$D$34)^(YEAR(I20)-YEAR($E$20)))</f>
        <v>23642.190531843</v>
      </c>
      <c r="J34" s="82" t="n">
        <f aca="false">+J32/((1+$D$34)^(YEAR(J20)-YEAR($E$20)))</f>
        <v>21184.758541078</v>
      </c>
      <c r="K34" s="82" t="n">
        <f aca="false">+K32/((1+$D$34)^(YEAR(K20)-YEAR($E$20)))</f>
        <v>18982.758549353</v>
      </c>
      <c r="L34" s="82" t="n">
        <f aca="false">+L32/((1+$D$34)^(YEAR(L20)-YEAR($E$20)))</f>
        <v>17009.6402771981</v>
      </c>
      <c r="M34" s="82" t="n">
        <f aca="false">+M32/((1+$D$34)^(YEAR(M20)-YEAR($E$20)))</f>
        <v>15241.6131516112</v>
      </c>
      <c r="N34" s="82" t="n">
        <f aca="false">+N32/((1+$D$34)^(YEAR(N20)-YEAR($E$20)))</f>
        <v>13657.3594548487</v>
      </c>
      <c r="O34" s="82" t="n">
        <f aca="false">+O32/((1+$D$34)^(YEAR(O20)-YEAR($E$20)))</f>
        <v>12237.777289291</v>
      </c>
      <c r="P34" s="82" t="n">
        <f aca="false">+P32/((1+$D$34)^(YEAR(P20)-YEAR($E$20)))</f>
        <v>10965.7502592213</v>
      </c>
      <c r="Q34" s="82" t="n">
        <f aca="false">+Q32/((1+$D$34)^(YEAR(Q20)-YEAR($E$20)))</f>
        <v>23642.190531843</v>
      </c>
      <c r="R34" s="0" t="n">
        <v>0</v>
      </c>
    </row>
    <row r="36" customFormat="false" ht="12.75" hidden="false" customHeight="false" outlineLevel="0" collapsed="false">
      <c r="A36" s="0" t="s">
        <v>94</v>
      </c>
      <c r="E36" s="82" t="n">
        <f aca="false">SUMPRODUCT(F34:R34,F38:R38)</f>
        <v>23515.8372290121</v>
      </c>
      <c r="F36" s="25" t="n">
        <f aca="false">+$E$12+$E$17+F34</f>
        <v>471983.854469993</v>
      </c>
      <c r="G36" s="25" t="n">
        <f aca="false">+$E$12+$E$17+G34</f>
        <v>472067.688824639</v>
      </c>
      <c r="H36" s="25" t="n">
        <f aca="false">+$E$12+$E$17+H34</f>
        <v>472151.823660843</v>
      </c>
      <c r="I36" s="25" t="n">
        <f aca="false">+$E$12+$E$17+I34</f>
        <v>472236.260055599</v>
      </c>
      <c r="J36" s="25" t="n">
        <f aca="false">+$E$12+$E$17+J34</f>
        <v>469778.828064834</v>
      </c>
      <c r="K36" s="25" t="n">
        <f aca="false">+$E$12+$E$17+K34</f>
        <v>467576.828073109</v>
      </c>
      <c r="L36" s="25" t="n">
        <f aca="false">+$E$12+$E$17+L34</f>
        <v>465603.709800954</v>
      </c>
      <c r="M36" s="25" t="n">
        <f aca="false">+$E$12+$E$17+M34</f>
        <v>463835.682675368</v>
      </c>
      <c r="N36" s="25" t="n">
        <f aca="false">+$E$12+$E$17+N34</f>
        <v>462251.428978605</v>
      </c>
      <c r="O36" s="25" t="n">
        <f aca="false">+$E$12+$E$17+O34</f>
        <v>460831.846813047</v>
      </c>
      <c r="P36" s="25" t="n">
        <f aca="false">+$E$12+$E$17+P34</f>
        <v>459559.819782978</v>
      </c>
      <c r="Q36" s="25" t="n">
        <f aca="false">+$E$12+$E$17+Q34</f>
        <v>472236.260055599</v>
      </c>
      <c r="R36" s="25" t="n">
        <f aca="false">+$E$12+$E$17+R34</f>
        <v>448594.069523756</v>
      </c>
    </row>
    <row r="37" customFormat="false" ht="12.75" hidden="false" customHeight="false" outlineLevel="0" collapsed="false">
      <c r="F37" s="25"/>
      <c r="G37" s="25"/>
      <c r="H37" s="25"/>
      <c r="I37" s="25"/>
      <c r="J37" s="25"/>
    </row>
    <row r="38" customFormat="false" ht="12.75" hidden="false" customHeight="false" outlineLevel="0" collapsed="false">
      <c r="A38" s="0" t="s">
        <v>95</v>
      </c>
      <c r="D38" s="103" t="n">
        <f aca="false">SUM(F38:R38)</f>
        <v>1</v>
      </c>
      <c r="F38" s="104" t="n">
        <f aca="false">IF(Summary!$E$39="yes",0.1,0.25)</f>
        <v>0.25</v>
      </c>
      <c r="G38" s="104" t="n">
        <f aca="false">IF(Summary!$E$39="yes",0.4,0.25)</f>
        <v>0.25</v>
      </c>
      <c r="H38" s="104" t="n">
        <f aca="false">IF(Summary!$E$39="yes",0.2,0.25)</f>
        <v>0.25</v>
      </c>
      <c r="I38" s="104" t="n">
        <f aca="false">IF(Summary!$E$39="yes",0.15,0.25)</f>
        <v>0.25</v>
      </c>
      <c r="J38" s="104" t="n">
        <f aca="false">IF(Summary!$E$39="yes",0.1,0)</f>
        <v>0</v>
      </c>
      <c r="K38" s="104" t="n">
        <f aca="false">IF(Summary!$E$39="yes",0,0)</f>
        <v>0</v>
      </c>
      <c r="L38" s="104" t="n">
        <f aca="false">IF(Summary!$E$39="yes",0,0)</f>
        <v>0</v>
      </c>
      <c r="M38" s="104" t="n">
        <f aca="false">IF(Summary!$E$39="yes",0,0)</f>
        <v>0</v>
      </c>
      <c r="N38" s="104" t="n">
        <f aca="false">IF(Summary!$E$39="yes",0,0)</f>
        <v>0</v>
      </c>
      <c r="O38" s="104" t="n">
        <f aca="false">IF(Summary!$E$39="yes",0,0)</f>
        <v>0</v>
      </c>
      <c r="P38" s="104" t="n">
        <f aca="false">IF(Summary!$E$39="yes",0,0)</f>
        <v>0</v>
      </c>
      <c r="Q38" s="104" t="n">
        <f aca="false">IF(Summary!$E$39="yes",0,0)</f>
        <v>0</v>
      </c>
      <c r="R38" s="104" t="n">
        <f aca="false">IF(Summary!$E$39="yes",0.05,0)</f>
        <v>0</v>
      </c>
    </row>
    <row r="40" customFormat="false" ht="12.75" hidden="false" customHeight="false" outlineLevel="0" collapsed="false">
      <c r="A40" s="0" t="s">
        <v>96</v>
      </c>
      <c r="D40" s="99" t="n">
        <f aca="false">+D17</f>
        <v>0.085</v>
      </c>
      <c r="E40" s="105" t="n">
        <f aca="false">SUM(F40:R40)</f>
        <v>472109.906752768</v>
      </c>
      <c r="F40" s="25" t="n">
        <f aca="false">+F36*F38</f>
        <v>117995.963617498</v>
      </c>
      <c r="G40" s="25" t="n">
        <f aca="false">+G36*G38</f>
        <v>118016.92220616</v>
      </c>
      <c r="H40" s="25" t="n">
        <f aca="false">+H36*H38</f>
        <v>118037.955915211</v>
      </c>
      <c r="I40" s="25" t="n">
        <f aca="false">+I36*I38</f>
        <v>118059.0650139</v>
      </c>
      <c r="J40" s="25" t="n">
        <f aca="false">+J36*J38</f>
        <v>0</v>
      </c>
      <c r="K40" s="25" t="n">
        <f aca="false">+K36*K38</f>
        <v>0</v>
      </c>
      <c r="L40" s="25" t="n">
        <f aca="false">+L36*L38</f>
        <v>0</v>
      </c>
      <c r="M40" s="25" t="n">
        <f aca="false">+M36*M38</f>
        <v>0</v>
      </c>
      <c r="N40" s="25" t="n">
        <f aca="false">+N36*N38</f>
        <v>0</v>
      </c>
      <c r="O40" s="25" t="n">
        <f aca="false">+O36*O38</f>
        <v>0</v>
      </c>
      <c r="P40" s="25" t="n">
        <f aca="false">+P36*P38</f>
        <v>0</v>
      </c>
      <c r="Q40" s="25" t="n">
        <f aca="false">+Q36*Q38</f>
        <v>0</v>
      </c>
      <c r="R40" s="25" t="n">
        <f aca="false">+R36*R38</f>
        <v>0</v>
      </c>
    </row>
    <row r="41" customFormat="false" ht="12.75" hidden="false" customHeight="false" outlineLevel="0" collapsed="false">
      <c r="D41" s="99"/>
      <c r="E41" s="26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</row>
    <row r="42" customFormat="false" ht="12.75" hidden="false" customHeight="false" outlineLevel="0" collapsed="false"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</row>
    <row r="43" customFormat="false" ht="12.75" hidden="false" customHeight="false" outlineLevel="0" collapsed="false">
      <c r="A43" s="100" t="s">
        <v>97</v>
      </c>
      <c r="D43" s="99" t="n">
        <v>0.0825</v>
      </c>
      <c r="E43" s="106" t="n">
        <v>206616</v>
      </c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</row>
    <row r="44" customFormat="false" ht="12.75" hidden="false" customHeight="false" outlineLevel="0" collapsed="false">
      <c r="D44" s="99" t="n">
        <v>0.0925</v>
      </c>
      <c r="E44" s="106" t="n">
        <v>197718</v>
      </c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</row>
    <row r="45" customFormat="false" ht="12.75" hidden="false" customHeight="false" outlineLevel="0" collapsed="false"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</row>
    <row r="46" customFormat="false" ht="12.75" hidden="false" customHeight="false" outlineLevel="0" collapsed="false"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</row>
    <row r="48" customFormat="false" ht="12.75" hidden="false" customHeight="false" outlineLevel="0" collapsed="false">
      <c r="E48" s="94" t="n">
        <f aca="false">+E6</f>
        <v>36891</v>
      </c>
      <c r="F48" s="94" t="n">
        <f aca="false">+F6</f>
        <v>37210</v>
      </c>
      <c r="G48" s="94" t="n">
        <f aca="false">+G6</f>
        <v>37302</v>
      </c>
      <c r="H48" s="94" t="n">
        <f aca="false">+H6</f>
        <v>37391</v>
      </c>
      <c r="I48" s="94" t="n">
        <f aca="false">+I6</f>
        <v>37483</v>
      </c>
      <c r="J48" s="94" t="n">
        <f aca="false">+J6</f>
        <v>37575</v>
      </c>
      <c r="K48" s="94" t="n">
        <f aca="false">+K6</f>
        <v>37667</v>
      </c>
      <c r="L48" s="94" t="n">
        <f aca="false">+L6</f>
        <v>37756</v>
      </c>
      <c r="M48" s="94" t="n">
        <f aca="false">+M6</f>
        <v>37848</v>
      </c>
      <c r="N48" s="94" t="n">
        <f aca="false">+N6</f>
        <v>37940</v>
      </c>
      <c r="O48" s="94" t="n">
        <f aca="false">+O6</f>
        <v>38032</v>
      </c>
      <c r="P48" s="94" t="n">
        <f aca="false">+P6</f>
        <v>38122</v>
      </c>
      <c r="Q48" s="94" t="n">
        <f aca="false">+Q6</f>
        <v>38214</v>
      </c>
    </row>
    <row r="49" customFormat="false" ht="12.75" hidden="false" customHeight="false" outlineLevel="0" collapsed="false">
      <c r="A49" s="7" t="s">
        <v>98</v>
      </c>
      <c r="B49" s="8"/>
      <c r="C49" s="107"/>
      <c r="D49" s="108"/>
      <c r="E49" s="109" t="n">
        <v>0</v>
      </c>
      <c r="F49" s="109" t="n">
        <f aca="false">+F8</f>
        <v>41927.1386429175</v>
      </c>
      <c r="G49" s="109" t="n">
        <f aca="false">+G8</f>
        <v>42451.227875954</v>
      </c>
      <c r="H49" s="109" t="n">
        <f aca="false">+H8</f>
        <v>42981.8682244034</v>
      </c>
      <c r="I49" s="109" t="n">
        <f aca="false">+I8</f>
        <v>43519.1415772084</v>
      </c>
      <c r="J49" s="109" t="n">
        <f aca="false">+J8</f>
        <v>44063.1308469235</v>
      </c>
      <c r="K49" s="109" t="n">
        <f aca="false">+K8</f>
        <v>44613.9199825101</v>
      </c>
      <c r="L49" s="109" t="n">
        <f aca="false">+L8</f>
        <v>45171.5939822915</v>
      </c>
      <c r="M49" s="109" t="n">
        <f aca="false">+M8</f>
        <v>45736.2389070701</v>
      </c>
      <c r="N49" s="109" t="n">
        <f aca="false">+N8</f>
        <v>46307.9418934085</v>
      </c>
      <c r="O49" s="109" t="n">
        <f aca="false">+O8</f>
        <v>46886.7911670761</v>
      </c>
      <c r="P49" s="109" t="n">
        <f aca="false">+P8</f>
        <v>47472.8760566645</v>
      </c>
      <c r="Q49" s="110" t="n">
        <f aca="false">+Q8</f>
        <v>48066.2870073728</v>
      </c>
      <c r="R49" s="25"/>
      <c r="S49" s="25"/>
    </row>
    <row r="50" customFormat="false" ht="12.75" hidden="false" customHeight="false" outlineLevel="0" collapsed="false">
      <c r="A50" s="14"/>
      <c r="B50" s="5"/>
      <c r="C50" s="43"/>
      <c r="D50" s="82"/>
      <c r="E50" s="5"/>
      <c r="F50" s="26" t="n">
        <v>0</v>
      </c>
      <c r="G50" s="26" t="n">
        <f aca="false">+G8</f>
        <v>42451.227875954</v>
      </c>
      <c r="H50" s="26" t="n">
        <f aca="false">+H8</f>
        <v>42981.8682244034</v>
      </c>
      <c r="I50" s="26" t="n">
        <f aca="false">+I8</f>
        <v>43519.1415772084</v>
      </c>
      <c r="J50" s="26" t="n">
        <f aca="false">+J8</f>
        <v>44063.1308469235</v>
      </c>
      <c r="K50" s="26" t="n">
        <f aca="false">+K8</f>
        <v>44613.9199825101</v>
      </c>
      <c r="L50" s="26" t="n">
        <f aca="false">+L8</f>
        <v>45171.5939822915</v>
      </c>
      <c r="M50" s="26" t="n">
        <f aca="false">+M8</f>
        <v>45736.2389070701</v>
      </c>
      <c r="N50" s="26" t="n">
        <f aca="false">+N8</f>
        <v>46307.9418934085</v>
      </c>
      <c r="O50" s="26" t="n">
        <f aca="false">+O8</f>
        <v>46886.7911670761</v>
      </c>
      <c r="P50" s="26" t="n">
        <f aca="false">+P8</f>
        <v>47472.8760566645</v>
      </c>
      <c r="Q50" s="33" t="n">
        <f aca="false">+Q8</f>
        <v>48066.2870073728</v>
      </c>
    </row>
    <row r="51" customFormat="false" ht="12.75" hidden="false" customHeight="false" outlineLevel="0" collapsed="false">
      <c r="A51" s="14"/>
      <c r="B51" s="5"/>
      <c r="C51" s="43"/>
      <c r="D51" s="82"/>
      <c r="E51" s="5"/>
      <c r="F51" s="5"/>
      <c r="G51" s="26" t="n">
        <v>0</v>
      </c>
      <c r="H51" s="26" t="n">
        <f aca="false">+H8</f>
        <v>42981.8682244034</v>
      </c>
      <c r="I51" s="26" t="n">
        <f aca="false">+I8</f>
        <v>43519.1415772084</v>
      </c>
      <c r="J51" s="26" t="n">
        <f aca="false">+J8</f>
        <v>44063.1308469235</v>
      </c>
      <c r="K51" s="26" t="n">
        <f aca="false">+K8</f>
        <v>44613.9199825101</v>
      </c>
      <c r="L51" s="26" t="n">
        <f aca="false">+L8</f>
        <v>45171.5939822915</v>
      </c>
      <c r="M51" s="26" t="n">
        <f aca="false">+M8</f>
        <v>45736.2389070701</v>
      </c>
      <c r="N51" s="26" t="n">
        <f aca="false">+N8</f>
        <v>46307.9418934085</v>
      </c>
      <c r="O51" s="26" t="n">
        <f aca="false">+O8</f>
        <v>46886.7911670761</v>
      </c>
      <c r="P51" s="26" t="n">
        <f aca="false">+P8</f>
        <v>47472.8760566645</v>
      </c>
      <c r="Q51" s="33" t="n">
        <f aca="false">+Q8</f>
        <v>48066.2870073728</v>
      </c>
    </row>
    <row r="52" customFormat="false" ht="12.75" hidden="false" customHeight="false" outlineLevel="0" collapsed="false">
      <c r="A52" s="14"/>
      <c r="B52" s="5"/>
      <c r="C52" s="43"/>
      <c r="D52" s="82"/>
      <c r="E52" s="5"/>
      <c r="F52" s="5"/>
      <c r="G52" s="5"/>
      <c r="H52" s="26" t="n">
        <v>0</v>
      </c>
      <c r="I52" s="26" t="n">
        <f aca="false">+I8</f>
        <v>43519.1415772084</v>
      </c>
      <c r="J52" s="26" t="n">
        <f aca="false">+J8</f>
        <v>44063.1308469235</v>
      </c>
      <c r="K52" s="26" t="n">
        <f aca="false">+K8</f>
        <v>44613.9199825101</v>
      </c>
      <c r="L52" s="26" t="n">
        <f aca="false">+L8</f>
        <v>45171.5939822915</v>
      </c>
      <c r="M52" s="26" t="n">
        <f aca="false">+M8</f>
        <v>45736.2389070701</v>
      </c>
      <c r="N52" s="26" t="n">
        <f aca="false">+N8</f>
        <v>46307.9418934085</v>
      </c>
      <c r="O52" s="26" t="n">
        <f aca="false">+O8</f>
        <v>46886.7911670761</v>
      </c>
      <c r="P52" s="26" t="n">
        <f aca="false">+P8</f>
        <v>47472.8760566645</v>
      </c>
      <c r="Q52" s="33" t="n">
        <f aca="false">+Q8</f>
        <v>48066.2870073728</v>
      </c>
    </row>
    <row r="53" customFormat="false" ht="12.75" hidden="false" customHeight="false" outlineLevel="0" collapsed="false">
      <c r="A53" s="111"/>
      <c r="B53" s="26"/>
      <c r="C53" s="26"/>
      <c r="D53" s="26"/>
      <c r="E53" s="26"/>
      <c r="F53" s="26"/>
      <c r="G53" s="26"/>
      <c r="H53" s="26"/>
      <c r="I53" s="26" t="n">
        <v>0</v>
      </c>
      <c r="J53" s="26" t="n">
        <f aca="false">+J8</f>
        <v>44063.1308469235</v>
      </c>
      <c r="K53" s="26" t="n">
        <f aca="false">+K8</f>
        <v>44613.9199825101</v>
      </c>
      <c r="L53" s="26" t="n">
        <f aca="false">+L8</f>
        <v>45171.5939822915</v>
      </c>
      <c r="M53" s="26" t="n">
        <f aca="false">+M8</f>
        <v>45736.2389070701</v>
      </c>
      <c r="N53" s="26" t="n">
        <f aca="false">+N8</f>
        <v>46307.9418934085</v>
      </c>
      <c r="O53" s="26" t="n">
        <f aca="false">+O8</f>
        <v>46886.7911670761</v>
      </c>
      <c r="P53" s="26" t="n">
        <f aca="false">+P8</f>
        <v>47472.8760566645</v>
      </c>
      <c r="Q53" s="33" t="n">
        <f aca="false">+Q8</f>
        <v>48066.2870073728</v>
      </c>
    </row>
    <row r="54" customFormat="false" ht="12.75" hidden="false" customHeight="false" outlineLevel="0" collapsed="false">
      <c r="A54" s="14"/>
      <c r="B54" s="5"/>
      <c r="C54" s="43"/>
      <c r="D54" s="82"/>
      <c r="E54" s="5"/>
      <c r="F54" s="5"/>
      <c r="G54" s="5"/>
      <c r="H54" s="5"/>
      <c r="I54" s="5"/>
      <c r="J54" s="26" t="n">
        <v>0</v>
      </c>
      <c r="K54" s="26" t="n">
        <f aca="false">+K8</f>
        <v>44613.9199825101</v>
      </c>
      <c r="L54" s="26" t="n">
        <f aca="false">+L8</f>
        <v>45171.5939822915</v>
      </c>
      <c r="M54" s="26" t="n">
        <f aca="false">+M8</f>
        <v>45736.2389070701</v>
      </c>
      <c r="N54" s="26" t="n">
        <f aca="false">+N8</f>
        <v>46307.9418934085</v>
      </c>
      <c r="O54" s="26" t="n">
        <f aca="false">+O8</f>
        <v>46886.7911670761</v>
      </c>
      <c r="P54" s="26" t="n">
        <f aca="false">+P8</f>
        <v>47472.8760566645</v>
      </c>
      <c r="Q54" s="33" t="n">
        <f aca="false">+Q8</f>
        <v>48066.2870073728</v>
      </c>
    </row>
    <row r="55" customFormat="false" ht="12.75" hidden="false" customHeight="false" outlineLevel="0" collapsed="false">
      <c r="A55" s="14"/>
      <c r="B55" s="5"/>
      <c r="C55" s="43"/>
      <c r="D55" s="82"/>
      <c r="E55" s="5"/>
      <c r="F55" s="5"/>
      <c r="G55" s="5"/>
      <c r="H55" s="5"/>
      <c r="I55" s="5"/>
      <c r="J55" s="5"/>
      <c r="K55" s="26" t="n">
        <v>0</v>
      </c>
      <c r="L55" s="26" t="n">
        <f aca="false">+L$8</f>
        <v>45171.5939822915</v>
      </c>
      <c r="M55" s="26" t="n">
        <f aca="false">+M$8</f>
        <v>45736.2389070701</v>
      </c>
      <c r="N55" s="26" t="n">
        <f aca="false">+N$8</f>
        <v>46307.9418934085</v>
      </c>
      <c r="O55" s="26" t="n">
        <f aca="false">+O$8</f>
        <v>46886.7911670761</v>
      </c>
      <c r="P55" s="26" t="n">
        <f aca="false">+P$8</f>
        <v>47472.8760566645</v>
      </c>
      <c r="Q55" s="33" t="n">
        <f aca="false">+Q$8</f>
        <v>48066.2870073728</v>
      </c>
    </row>
    <row r="56" customFormat="false" ht="12.75" hidden="false" customHeight="false" outlineLevel="0" collapsed="false">
      <c r="A56" s="14"/>
      <c r="B56" s="5"/>
      <c r="C56" s="43"/>
      <c r="D56" s="82"/>
      <c r="E56" s="5"/>
      <c r="F56" s="5"/>
      <c r="G56" s="5"/>
      <c r="H56" s="5"/>
      <c r="I56" s="5"/>
      <c r="J56" s="5"/>
      <c r="K56" s="5"/>
      <c r="L56" s="26" t="n">
        <v>0</v>
      </c>
      <c r="M56" s="26" t="n">
        <f aca="false">+M$8</f>
        <v>45736.2389070701</v>
      </c>
      <c r="N56" s="26" t="n">
        <f aca="false">+N$8</f>
        <v>46307.9418934085</v>
      </c>
      <c r="O56" s="26" t="n">
        <f aca="false">+O$8</f>
        <v>46886.7911670761</v>
      </c>
      <c r="P56" s="26" t="n">
        <f aca="false">+P$8</f>
        <v>47472.8760566645</v>
      </c>
      <c r="Q56" s="33" t="n">
        <f aca="false">+Q$8</f>
        <v>48066.2870073728</v>
      </c>
    </row>
    <row r="57" customFormat="false" ht="12.75" hidden="false" customHeight="false" outlineLevel="0" collapsed="false">
      <c r="A57" s="14"/>
      <c r="B57" s="5"/>
      <c r="C57" s="43"/>
      <c r="D57" s="82"/>
      <c r="E57" s="5"/>
      <c r="F57" s="5"/>
      <c r="G57" s="5"/>
      <c r="H57" s="5"/>
      <c r="I57" s="5"/>
      <c r="J57" s="5"/>
      <c r="K57" s="5"/>
      <c r="L57" s="5"/>
      <c r="M57" s="26" t="n">
        <v>0</v>
      </c>
      <c r="N57" s="26" t="n">
        <f aca="false">+N$8</f>
        <v>46307.9418934085</v>
      </c>
      <c r="O57" s="26" t="n">
        <f aca="false">+O$8</f>
        <v>46886.7911670761</v>
      </c>
      <c r="P57" s="26" t="n">
        <f aca="false">+P$8</f>
        <v>47472.8760566645</v>
      </c>
      <c r="Q57" s="33" t="n">
        <f aca="false">+Q$8</f>
        <v>48066.2870073728</v>
      </c>
    </row>
    <row r="58" customFormat="false" ht="12.75" hidden="false" customHeight="false" outlineLevel="0" collapsed="false">
      <c r="A58" s="14"/>
      <c r="B58" s="5"/>
      <c r="C58" s="43"/>
      <c r="D58" s="82"/>
      <c r="E58" s="5"/>
      <c r="F58" s="5"/>
      <c r="G58" s="5"/>
      <c r="H58" s="5"/>
      <c r="I58" s="5"/>
      <c r="J58" s="5"/>
      <c r="K58" s="5"/>
      <c r="L58" s="5"/>
      <c r="M58" s="5"/>
      <c r="N58" s="26" t="n">
        <v>0</v>
      </c>
      <c r="O58" s="26" t="n">
        <f aca="false">+O$8</f>
        <v>46886.7911670761</v>
      </c>
      <c r="P58" s="26" t="n">
        <f aca="false">+P$8</f>
        <v>47472.8760566645</v>
      </c>
      <c r="Q58" s="33" t="n">
        <f aca="false">+Q$8</f>
        <v>48066.2870073728</v>
      </c>
    </row>
    <row r="59" customFormat="false" ht="12.75" hidden="false" customHeight="false" outlineLevel="0" collapsed="false">
      <c r="A59" s="14"/>
      <c r="B59" s="5"/>
      <c r="C59" s="43"/>
      <c r="D59" s="82"/>
      <c r="E59" s="5"/>
      <c r="F59" s="5"/>
      <c r="G59" s="5"/>
      <c r="H59" s="5"/>
      <c r="I59" s="5"/>
      <c r="J59" s="5"/>
      <c r="K59" s="5"/>
      <c r="L59" s="5"/>
      <c r="M59" s="5"/>
      <c r="N59" s="5"/>
      <c r="O59" s="26" t="n">
        <v>0</v>
      </c>
      <c r="P59" s="26" t="n">
        <f aca="false">+P$8</f>
        <v>47472.8760566645</v>
      </c>
      <c r="Q59" s="33" t="n">
        <f aca="false">+Q$8</f>
        <v>48066.2870073728</v>
      </c>
    </row>
    <row r="60" customFormat="false" ht="12.75" hidden="false" customHeight="false" outlineLevel="0" collapsed="false">
      <c r="A60" s="16"/>
      <c r="B60" s="17"/>
      <c r="C60" s="112"/>
      <c r="D60" s="19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72" t="n">
        <v>0</v>
      </c>
      <c r="Q60" s="73" t="n">
        <f aca="false">+Q8</f>
        <v>48066.2870073728</v>
      </c>
    </row>
    <row r="61" customFormat="false" ht="12.75" hidden="false" customHeight="false" outlineLevel="0" collapsed="false">
      <c r="C61" s="43"/>
      <c r="D61" s="82"/>
      <c r="P61" s="25"/>
      <c r="Q61" s="25"/>
    </row>
    <row r="63" customFormat="false" ht="12.75" hidden="false" customHeight="false" outlineLevel="0" collapsed="false">
      <c r="B63" s="0" t="s">
        <v>99</v>
      </c>
      <c r="C63" s="43"/>
      <c r="D63" s="82"/>
    </row>
    <row r="64" customFormat="false" ht="12.75" hidden="false" customHeight="false" outlineLevel="0" collapsed="false">
      <c r="B64" s="0" t="s">
        <v>100</v>
      </c>
      <c r="C64" s="43"/>
      <c r="D64" s="82"/>
      <c r="E64" s="82" t="n">
        <f aca="false">XNPV($D$12,E$49:Q$49,E$6:Q$6)</f>
        <v>448594.069523756</v>
      </c>
      <c r="F64" s="82" t="n">
        <f aca="false">XNPV($D$12,F$50:Q$50,F$6:Q$6)</f>
        <v>439818.895753188</v>
      </c>
      <c r="G64" s="82" t="n">
        <f aca="false">XNPV($D$12,G$51:Q$51,G$6:Q$6)</f>
        <v>406505.122796644</v>
      </c>
      <c r="H64" s="82" t="n">
        <f aca="false">XNPV($D$12,H$52:Q$52,H$6:Q$6)</f>
        <v>371690.459883668</v>
      </c>
      <c r="I64" s="82" t="n">
        <f aca="false">XNPV($D$12,I$53:Q$53,I$6:Q$6)</f>
        <v>335893.371301354</v>
      </c>
      <c r="J64" s="82" t="n">
        <f aca="false">XNPV($D$12,J$54:Q$54,J$6:Q$6)</f>
        <v>298808.591242973</v>
      </c>
      <c r="K64" s="82" t="n">
        <f aca="false">XNPV($D$12,K$55:Q$55,K$6:Q$6)</f>
        <v>260402.567415856</v>
      </c>
      <c r="L64" s="82" t="n">
        <f aca="false">XNPV($D$12,L$56:Q$56,L$6:Q$6)</f>
        <v>220462.792449956</v>
      </c>
      <c r="M64" s="82" t="n">
        <f aca="false">XNPV($D$12,M$57:Q$57,M$6:Q$6)</f>
        <v>179306.777009567</v>
      </c>
      <c r="N64" s="82" t="n">
        <f aca="false">XNPV($D$12,N$58:Q$58,N$6:Q$6)</f>
        <v>136724.022022611</v>
      </c>
      <c r="O64" s="82" t="n">
        <f aca="false">XNPV($D$12,O$59:Q$59,O$6:Q$6)</f>
        <v>92677.7399825757</v>
      </c>
      <c r="P64" s="82" t="n">
        <f aca="false">XNPV($D$12,P$60:Q$60,P$6:Q$6)</f>
        <v>47088.0103218658</v>
      </c>
      <c r="Q64" s="82" t="n">
        <v>0</v>
      </c>
    </row>
  </sheetData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V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7"/>
    <col collapsed="false" customWidth="true" hidden="false" outlineLevel="0" max="4" min="4" style="0" width="12.85"/>
    <col collapsed="false" customWidth="true" hidden="false" outlineLevel="0" max="5" min="5" style="0" width="11.99"/>
    <col collapsed="false" customWidth="true" hidden="false" outlineLevel="0" max="6" min="6" style="0" width="12.56"/>
    <col collapsed="false" customWidth="true" hidden="false" outlineLevel="0" max="9" min="7" style="0" width="12.28"/>
    <col collapsed="false" customWidth="true" hidden="false" outlineLevel="0" max="32" min="10" style="0" width="12.85"/>
    <col collapsed="false" customWidth="true" hidden="false" outlineLevel="0" max="51" min="33" style="0" width="11.7"/>
  </cols>
  <sheetData>
    <row r="1" customFormat="false" ht="18" hidden="false" customHeight="false" outlineLevel="0" collapsed="false">
      <c r="A1" s="113" t="s">
        <v>101</v>
      </c>
    </row>
    <row r="4" customFormat="false" ht="12.75" hidden="false" customHeight="false" outlineLevel="0" collapsed="false">
      <c r="A4" s="0" t="s">
        <v>102</v>
      </c>
      <c r="D4" s="100" t="n">
        <f aca="false">+Summary!G6</f>
        <v>36891</v>
      </c>
      <c r="E4" s="100" t="n">
        <v>37026</v>
      </c>
      <c r="F4" s="100" t="n">
        <v>37118</v>
      </c>
      <c r="G4" s="100" t="n">
        <v>37210</v>
      </c>
      <c r="H4" s="100" t="n">
        <v>37302</v>
      </c>
      <c r="I4" s="100" t="n">
        <v>37391</v>
      </c>
      <c r="J4" s="100" t="n">
        <v>37483</v>
      </c>
      <c r="K4" s="100" t="n">
        <v>37575</v>
      </c>
      <c r="L4" s="100" t="n">
        <v>37667</v>
      </c>
      <c r="M4" s="100" t="n">
        <v>37756</v>
      </c>
      <c r="N4" s="100" t="n">
        <v>37848</v>
      </c>
      <c r="O4" s="100" t="n">
        <v>37940</v>
      </c>
      <c r="P4" s="100" t="n">
        <v>38032</v>
      </c>
      <c r="Q4" s="100" t="n">
        <v>38122</v>
      </c>
      <c r="R4" s="100" t="n">
        <v>38214</v>
      </c>
      <c r="S4" s="100" t="n">
        <v>38306</v>
      </c>
      <c r="T4" s="100" t="n">
        <v>38398</v>
      </c>
      <c r="U4" s="100" t="n">
        <v>38487</v>
      </c>
      <c r="V4" s="100" t="n">
        <v>38579</v>
      </c>
      <c r="W4" s="100" t="n">
        <v>38671</v>
      </c>
      <c r="X4" s="100" t="n">
        <v>38763</v>
      </c>
      <c r="Y4" s="100" t="n">
        <v>38852</v>
      </c>
      <c r="Z4" s="100" t="n">
        <v>38944</v>
      </c>
      <c r="AA4" s="100" t="n">
        <v>39036</v>
      </c>
      <c r="AB4" s="100" t="n">
        <v>39128</v>
      </c>
      <c r="AC4" s="100" t="n">
        <v>39217</v>
      </c>
      <c r="AD4" s="100" t="n">
        <v>39309</v>
      </c>
      <c r="AE4" s="100" t="n">
        <v>39401</v>
      </c>
      <c r="AF4" s="100" t="n">
        <v>39493</v>
      </c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</row>
    <row r="5" customFormat="false" ht="12.75" hidden="false" customHeight="false" outlineLevel="0" collapsed="false"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</row>
    <row r="6" customFormat="false" ht="12.75" hidden="false" customHeight="false" outlineLevel="0" collapsed="false">
      <c r="A6" s="0" t="s">
        <v>103</v>
      </c>
      <c r="D6" s="82" t="n">
        <v>0</v>
      </c>
      <c r="E6" s="82" t="n">
        <f aca="false">+Summary!G14*1000</f>
        <v>14225862.0604199</v>
      </c>
      <c r="F6" s="82" t="n">
        <f aca="false">E6*(1.0125)</f>
        <v>14403685.3361751</v>
      </c>
      <c r="G6" s="82" t="n">
        <f aca="false">F6*(1.0125)</f>
        <v>14583731.4028773</v>
      </c>
      <c r="H6" s="82" t="n">
        <f aca="false">G6*(1.0125)</f>
        <v>14766028.0454133</v>
      </c>
      <c r="I6" s="82" t="n">
        <f aca="false">H6*(1.0125)</f>
        <v>14950603.3959809</v>
      </c>
      <c r="J6" s="82" t="n">
        <f aca="false">I6*(1.0125)</f>
        <v>15137485.9384307</v>
      </c>
      <c r="K6" s="82" t="n">
        <f aca="false">J6*(1.0125)</f>
        <v>15326704.5126611</v>
      </c>
      <c r="L6" s="82" t="n">
        <f aca="false">K6*(1.0125)</f>
        <v>15518288.3190693</v>
      </c>
      <c r="M6" s="82" t="n">
        <f aca="false">L6*(1.0125)</f>
        <v>15712266.9230577</v>
      </c>
      <c r="N6" s="82" t="n">
        <f aca="false">M6*(1.0125)</f>
        <v>15908670.2595959</v>
      </c>
      <c r="O6" s="82" t="n">
        <f aca="false">N6*(1.0125)</f>
        <v>16107528.6378409</v>
      </c>
      <c r="P6" s="82" t="n">
        <f aca="false">O6*(1.0125)</f>
        <v>16308872.7458139</v>
      </c>
      <c r="Q6" s="82" t="n">
        <f aca="false">P6*(1.0125)</f>
        <v>16512733.6551366</v>
      </c>
      <c r="R6" s="82" t="n">
        <f aca="false">Q6*(1.0125)</f>
        <v>16719142.8258258</v>
      </c>
      <c r="S6" s="82" t="n">
        <f aca="false">R6*(1.0125)-0.05</f>
        <v>16928132.0611486</v>
      </c>
      <c r="T6" s="82" t="n">
        <f aca="false">S6*(1.0125)</f>
        <v>17139733.7119129</v>
      </c>
      <c r="U6" s="82" t="n">
        <f aca="false">T6*(1.0125)</f>
        <v>17353980.3833118</v>
      </c>
      <c r="V6" s="82" t="n">
        <f aca="false">U6*(1.0125)</f>
        <v>17570905.1381032</v>
      </c>
      <c r="W6" s="82" t="n">
        <f aca="false">V6*(1.0125)</f>
        <v>17790541.4523295</v>
      </c>
      <c r="X6" s="82" t="n">
        <f aca="false">W6*(1.0125)</f>
        <v>18012923.2204837</v>
      </c>
      <c r="Y6" s="82" t="n">
        <f aca="false">X6*(1.0125)</f>
        <v>18238084.7607397</v>
      </c>
      <c r="Z6" s="82" t="n">
        <f aca="false">Y6*(1.0125)</f>
        <v>18466060.8202489</v>
      </c>
      <c r="AA6" s="82" t="n">
        <f aca="false">Z6*(1.0125)</f>
        <v>18696886.5805021</v>
      </c>
      <c r="AB6" s="82" t="n">
        <f aca="false">AA6*(1.0125)</f>
        <v>18930597.6627583</v>
      </c>
      <c r="AC6" s="82" t="n">
        <f aca="false">AB6*(1.0125)</f>
        <v>19167230.1335428</v>
      </c>
      <c r="AD6" s="82" t="n">
        <f aca="false">AC6*(1.0125)</f>
        <v>19406820.5102121</v>
      </c>
      <c r="AE6" s="82" t="n">
        <f aca="false">AD6*(1.0125)</f>
        <v>19649405.7665897</v>
      </c>
      <c r="AF6" s="82" t="n">
        <f aca="false">AE6*(1.0125)</f>
        <v>19895023.3386721</v>
      </c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</row>
    <row r="7" customFormat="false" ht="12.75" hidden="false" customHeight="false" outlineLevel="0" collapsed="false"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</row>
    <row r="8" customFormat="false" ht="12.75" hidden="false" customHeight="false" outlineLevel="0" collapsed="false">
      <c r="A8" s="0" t="s">
        <v>104</v>
      </c>
      <c r="C8" s="0" t="s">
        <v>105</v>
      </c>
      <c r="D8" s="114" t="n">
        <f aca="false">+Summary!G5</f>
        <v>0.085</v>
      </c>
      <c r="E8" s="82" t="n">
        <f aca="false">XNPV($D$8,D6:AF6,D4:AF4)</f>
        <v>347639385.991063</v>
      </c>
      <c r="F8" s="25" t="n">
        <v>346398409.902929</v>
      </c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</row>
    <row r="9" customFormat="false" ht="12.75" hidden="false" customHeight="false" outlineLevel="0" collapsed="false">
      <c r="D9" s="115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</row>
    <row r="10" customFormat="false" ht="12.75" hidden="false" customHeight="false" outlineLevel="0" collapsed="false">
      <c r="A10" s="0" t="s">
        <v>106</v>
      </c>
      <c r="D10" s="114" t="n">
        <f aca="false">LOOKUP(D8,D22:E28)</f>
        <v>0.0824806721277564</v>
      </c>
    </row>
    <row r="11" customFormat="false" ht="12.75" hidden="false" customHeight="false" outlineLevel="0" collapsed="false">
      <c r="A11" s="0" t="s">
        <v>107</v>
      </c>
      <c r="E11" s="82" t="n">
        <f aca="false">LOOKUP(D8,Summary!L12:R13)*1000</f>
        <v>347639385.991063</v>
      </c>
      <c r="F11" s="25" t="n">
        <f aca="false">+E16</f>
        <v>344018802.229203</v>
      </c>
      <c r="G11" s="25" t="n">
        <f aca="false">+F16</f>
        <v>336767146.994358</v>
      </c>
      <c r="H11" s="25" t="n">
        <f aca="false">+G16</f>
        <v>329184686.326787</v>
      </c>
      <c r="I11" s="25" t="n">
        <f aca="false">+H16</f>
        <v>321262292.321869</v>
      </c>
      <c r="J11" s="25" t="n">
        <f aca="false">+I16</f>
        <v>312772827.973014</v>
      </c>
      <c r="K11" s="25" t="n">
        <f aca="false">+J16</f>
        <v>304137779.30268</v>
      </c>
      <c r="L11" s="25" t="n">
        <f aca="false">+K16</f>
        <v>295133992.428326</v>
      </c>
      <c r="M11" s="25" t="n">
        <f aca="false">+L16</f>
        <v>285751436.17999</v>
      </c>
      <c r="N11" s="25" t="n">
        <f aca="false">+M16</f>
        <v>275786123.711908</v>
      </c>
      <c r="O11" s="25" t="n">
        <f aca="false">+N16</f>
        <v>265610950.126144</v>
      </c>
      <c r="P11" s="25" t="n">
        <f aca="false">+O16</f>
        <v>255025379.876145</v>
      </c>
      <c r="Q11" s="25" t="n">
        <f aca="false">+P16</f>
        <v>244018395.22964</v>
      </c>
      <c r="R11" s="25" t="n">
        <f aca="false">+Q16</f>
        <v>232468434.485481</v>
      </c>
      <c r="S11" s="25" t="n">
        <f aca="false">+R16</f>
        <v>220582228.784823</v>
      </c>
      <c r="T11" s="25" t="n">
        <f aca="false">+S16</f>
        <v>208239923.805987</v>
      </c>
      <c r="U11" s="25" t="n">
        <f aca="false">+T16</f>
        <v>195429424.989692</v>
      </c>
      <c r="V11" s="25" t="n">
        <f aca="false">+U16</f>
        <v>182005867.562751</v>
      </c>
      <c r="W11" s="25" t="n">
        <f aca="false">+V16</f>
        <v>168218800.502661</v>
      </c>
      <c r="X11" s="25" t="n">
        <f aca="false">+W16</f>
        <v>153925468.845287</v>
      </c>
      <c r="Y11" s="25" t="n">
        <f aca="false">+X16</f>
        <v>139112602.073489</v>
      </c>
      <c r="Z11" s="25" t="n">
        <f aca="false">+Y16</f>
        <v>123672311.783766</v>
      </c>
      <c r="AA11" s="25" t="n">
        <f aca="false">+Z16</f>
        <v>107777354.899834</v>
      </c>
      <c r="AB11" s="25" t="n">
        <f aca="false">+AA16</f>
        <v>91321121.6833067</v>
      </c>
      <c r="AC11" s="25" t="n">
        <f aca="false">+AB16</f>
        <v>74289058.0743094</v>
      </c>
      <c r="AD11" s="25" t="n">
        <f aca="false">+AC16</f>
        <v>56615909.0868267</v>
      </c>
      <c r="AE11" s="25" t="n">
        <f aca="false">+AD16</f>
        <v>38386113.4467069</v>
      </c>
      <c r="AF11" s="25" t="n">
        <f aca="false">+AE16</f>
        <v>19534741.4999693</v>
      </c>
    </row>
    <row r="12" customFormat="false" ht="12.75" hidden="false" customHeight="false" outlineLevel="0" collapsed="false">
      <c r="A12" s="0" t="s">
        <v>108</v>
      </c>
      <c r="E12" s="82" t="n">
        <f aca="false">+E11*$D$10*(E4-D4)/365</f>
        <v>10605278.2985593</v>
      </c>
      <c r="F12" s="82" t="n">
        <f aca="false">+F11*$D$10*(F4-E4)/365</f>
        <v>7152030.10132995</v>
      </c>
      <c r="G12" s="82" t="n">
        <f aca="false">+G11*$D$10*(G4-F4)/365</f>
        <v>7001270.73530691</v>
      </c>
      <c r="H12" s="82" t="n">
        <f aca="false">+H11*$D$10*(H4-G4)/365</f>
        <v>6843634.04049485</v>
      </c>
      <c r="I12" s="82" t="n">
        <f aca="false">+I11*$D$10*(I4-H4)/365</f>
        <v>6461139.04712609</v>
      </c>
      <c r="J12" s="82" t="n">
        <f aca="false">+J11*$D$10*(J4-I4)/365</f>
        <v>6502437.2680965</v>
      </c>
      <c r="K12" s="82" t="n">
        <f aca="false">+K11*$D$10*(K4-J4)/365</f>
        <v>6322917.6383074</v>
      </c>
      <c r="L12" s="82" t="n">
        <f aca="false">+L11*$D$10*(L4-K4)/365</f>
        <v>6135732.07073358</v>
      </c>
      <c r="M12" s="82" t="n">
        <f aca="false">+M11*$D$10*(M4-L4)/365</f>
        <v>5746954.45497577</v>
      </c>
      <c r="N12" s="82" t="n">
        <f aca="false">+N11*$D$10*(N4-M4)/365</f>
        <v>5733496.67383162</v>
      </c>
      <c r="O12" s="82" t="n">
        <f aca="false">+O11*$D$10*(O4-N4)/365</f>
        <v>5521958.38784236</v>
      </c>
      <c r="P12" s="82" t="n">
        <f aca="false">+P11*$D$10*(P4-O4)/365</f>
        <v>5301888.09930828</v>
      </c>
      <c r="Q12" s="82" t="n">
        <f aca="false">+Q11*$D$10*(Q4-P4)/365</f>
        <v>4962772.91097794</v>
      </c>
      <c r="R12" s="82" t="n">
        <f aca="false">+R11*$D$10*(R4-Q4)/365</f>
        <v>4832937.12516762</v>
      </c>
      <c r="S12" s="82" t="n">
        <f aca="false">+S11*$D$10*(S4-R4)/365</f>
        <v>4585827.08231284</v>
      </c>
      <c r="T12" s="82" t="n">
        <f aca="false">+T11*$D$10*(T4-S4)/365</f>
        <v>4329234.89561714</v>
      </c>
      <c r="U12" s="82" t="n">
        <f aca="false">+U11*$D$10*(U4-T4)/365</f>
        <v>3930422.95637116</v>
      </c>
      <c r="V12" s="82" t="n">
        <f aca="false">+V11*$D$10*(V4-U4)/365</f>
        <v>3783838.07801354</v>
      </c>
      <c r="W12" s="82" t="n">
        <f aca="false">+W11*$D$10*(W4-V4)/365</f>
        <v>3497209.79495499</v>
      </c>
      <c r="X12" s="82" t="n">
        <f aca="false">+X11*$D$10*(X4-W4)/365</f>
        <v>3200056.44868606</v>
      </c>
      <c r="Y12" s="82" t="n">
        <f aca="false">+Y11*$D$10*(Y4-X4)/365</f>
        <v>2797794.47101688</v>
      </c>
      <c r="Z12" s="82" t="n">
        <f aca="false">+Z11*$D$10*(Z4-Y4)/365</f>
        <v>2571103.93631699</v>
      </c>
      <c r="AA12" s="82" t="n">
        <f aca="false">+AA11*$D$10*(AA4-Z4)/365</f>
        <v>2240653.36397448</v>
      </c>
      <c r="AB12" s="82" t="n">
        <f aca="false">+AB11*$D$10*(AB4-AA4)/365</f>
        <v>1898534.05376104</v>
      </c>
      <c r="AC12" s="82" t="n">
        <f aca="false">+AC11*$D$10*(AC4-AB4)/365</f>
        <v>1494081.14606006</v>
      </c>
      <c r="AD12" s="82" t="n">
        <f aca="false">+AD11*$D$10*(AD4-AC4)/365</f>
        <v>1177024.87009232</v>
      </c>
      <c r="AE12" s="82" t="n">
        <f aca="false">+AE11*$D$10*(AE4-AD4)/365</f>
        <v>798033.819852098</v>
      </c>
      <c r="AF12" s="82" t="n">
        <f aca="false">+AF11*$D$10*(AF4-AE4)/365</f>
        <v>406120.416454435</v>
      </c>
    </row>
    <row r="13" customFormat="false" ht="15" hidden="false" customHeight="false" outlineLevel="0" collapsed="false">
      <c r="A13" s="0" t="s">
        <v>109</v>
      </c>
      <c r="E13" s="57" t="n">
        <f aca="false">+E6-E12</f>
        <v>3620583.76186051</v>
      </c>
      <c r="F13" s="57" t="n">
        <f aca="false">+F6-F12</f>
        <v>7251655.23484516</v>
      </c>
      <c r="G13" s="57" t="n">
        <f aca="false">+G6-G12</f>
        <v>7582460.66757039</v>
      </c>
      <c r="H13" s="57" t="n">
        <f aca="false">+H6-H12</f>
        <v>7922394.00491841</v>
      </c>
      <c r="I13" s="57" t="n">
        <f aca="false">+I6-I12</f>
        <v>8489464.34885484</v>
      </c>
      <c r="J13" s="57" t="n">
        <f aca="false">+J6-J12</f>
        <v>8635048.67033419</v>
      </c>
      <c r="K13" s="57" t="n">
        <f aca="false">+K6-K12</f>
        <v>9003786.87435368</v>
      </c>
      <c r="L13" s="57" t="n">
        <f aca="false">+L6-L12</f>
        <v>9382556.24833575</v>
      </c>
      <c r="M13" s="57" t="n">
        <f aca="false">+M6-M12</f>
        <v>9965312.46808193</v>
      </c>
      <c r="N13" s="57" t="n">
        <f aca="false">+N6-N12</f>
        <v>10175173.5857643</v>
      </c>
      <c r="O13" s="57" t="n">
        <f aca="false">+O6-O12</f>
        <v>10585570.2499985</v>
      </c>
      <c r="P13" s="57" t="n">
        <f aca="false">+P6-P12</f>
        <v>11006984.6465056</v>
      </c>
      <c r="Q13" s="57" t="n">
        <f aca="false">+Q6-Q12</f>
        <v>11549960.7441586</v>
      </c>
      <c r="R13" s="57" t="n">
        <f aca="false">+R6-R12</f>
        <v>11886205.7006581</v>
      </c>
      <c r="S13" s="57" t="n">
        <f aca="false">+S6-S12</f>
        <v>12342304.9788357</v>
      </c>
      <c r="T13" s="57" t="n">
        <f aca="false">+T6-T12</f>
        <v>12810498.8162958</v>
      </c>
      <c r="U13" s="57" t="n">
        <f aca="false">+U6-U12</f>
        <v>13423557.4269407</v>
      </c>
      <c r="V13" s="57" t="n">
        <f aca="false">+V6-V12</f>
        <v>13787067.0600897</v>
      </c>
      <c r="W13" s="57" t="n">
        <f aca="false">+W6-W12</f>
        <v>14293331.6573745</v>
      </c>
      <c r="X13" s="57" t="n">
        <f aca="false">+X6-X12</f>
        <v>14812866.7717976</v>
      </c>
      <c r="Y13" s="57" t="n">
        <f aca="false">+Y6-Y12</f>
        <v>15440290.2897228</v>
      </c>
      <c r="Z13" s="57" t="n">
        <f aca="false">+Z6-Z12</f>
        <v>15894956.883932</v>
      </c>
      <c r="AA13" s="57" t="n">
        <f aca="false">+AA6-AA12</f>
        <v>16456233.2165276</v>
      </c>
      <c r="AB13" s="57" t="n">
        <f aca="false">+AB6-AB12</f>
        <v>17032063.6089973</v>
      </c>
      <c r="AC13" s="57" t="n">
        <f aca="false">+AC6-AC12</f>
        <v>17673148.9874828</v>
      </c>
      <c r="AD13" s="57" t="n">
        <f aca="false">+AD6-AD12</f>
        <v>18229795.6401198</v>
      </c>
      <c r="AE13" s="57" t="n">
        <f aca="false">+AE6-AE12</f>
        <v>18851371.9467376</v>
      </c>
      <c r="AF13" s="57" t="n">
        <f aca="false">+AF6-AF12</f>
        <v>19488902.9222177</v>
      </c>
    </row>
    <row r="14" customFormat="false" ht="12.75" hidden="false" customHeight="false" outlineLevel="0" collapsed="false">
      <c r="A14" s="0" t="s">
        <v>65</v>
      </c>
      <c r="E14" s="25" t="n">
        <f aca="false">+E12+E13</f>
        <v>14225862.0604199</v>
      </c>
      <c r="F14" s="25" t="n">
        <f aca="false">+F12+F13</f>
        <v>14403685.3361751</v>
      </c>
      <c r="G14" s="25" t="n">
        <f aca="false">+G12+G13</f>
        <v>14583731.4028773</v>
      </c>
      <c r="H14" s="25" t="n">
        <f aca="false">+H12+H13</f>
        <v>14766028.0454133</v>
      </c>
      <c r="I14" s="25" t="n">
        <f aca="false">+I12+I13</f>
        <v>14950603.3959809</v>
      </c>
      <c r="J14" s="25" t="n">
        <f aca="false">+J12+J13</f>
        <v>15137485.9384307</v>
      </c>
      <c r="K14" s="25" t="n">
        <f aca="false">+K12+K13</f>
        <v>15326704.5126611</v>
      </c>
      <c r="L14" s="25" t="n">
        <f aca="false">+L12+L13</f>
        <v>15518288.3190693</v>
      </c>
      <c r="M14" s="25" t="n">
        <f aca="false">+M12+M13</f>
        <v>15712266.9230577</v>
      </c>
      <c r="N14" s="25" t="n">
        <f aca="false">+N12+N13</f>
        <v>15908670.2595959</v>
      </c>
      <c r="O14" s="25" t="n">
        <f aca="false">+O12+O13</f>
        <v>16107528.6378409</v>
      </c>
      <c r="P14" s="25" t="n">
        <f aca="false">+P12+P13</f>
        <v>16308872.7458139</v>
      </c>
      <c r="Q14" s="25" t="n">
        <f aca="false">+Q12+Q13</f>
        <v>16512733.6551365</v>
      </c>
      <c r="R14" s="25" t="n">
        <f aca="false">+R12+R13</f>
        <v>16719142.8258258</v>
      </c>
      <c r="S14" s="25" t="n">
        <f aca="false">+S12+S13</f>
        <v>16928132.0611486</v>
      </c>
      <c r="T14" s="25" t="n">
        <f aca="false">+T12+T13</f>
        <v>17139733.7119129</v>
      </c>
      <c r="U14" s="25" t="n">
        <f aca="false">+U12+U13</f>
        <v>17353980.3833118</v>
      </c>
      <c r="V14" s="25" t="n">
        <f aca="false">+V12+V13</f>
        <v>17570905.1381032</v>
      </c>
      <c r="W14" s="25" t="n">
        <f aca="false">+W12+W13</f>
        <v>17790541.4523295</v>
      </c>
      <c r="X14" s="25" t="n">
        <f aca="false">+X12+X13</f>
        <v>18012923.2204837</v>
      </c>
      <c r="Y14" s="25" t="n">
        <f aca="false">+Y12+Y13</f>
        <v>18238084.7607397</v>
      </c>
      <c r="Z14" s="25" t="n">
        <f aca="false">+Z12+Z13</f>
        <v>18466060.8202489</v>
      </c>
      <c r="AA14" s="25" t="n">
        <f aca="false">+AA12+AA13</f>
        <v>18696886.5805021</v>
      </c>
      <c r="AB14" s="25" t="n">
        <f aca="false">+AB12+AB13</f>
        <v>18930597.6627583</v>
      </c>
      <c r="AC14" s="25" t="n">
        <f aca="false">+AC12+AC13</f>
        <v>19167230.1335428</v>
      </c>
      <c r="AD14" s="25" t="n">
        <f aca="false">+AD12+AD13</f>
        <v>19406820.5102121</v>
      </c>
      <c r="AE14" s="25" t="n">
        <f aca="false">+AE12+AE13</f>
        <v>19649405.7665897</v>
      </c>
      <c r="AF14" s="25" t="n">
        <f aca="false">+AF12+AF13</f>
        <v>19895023.3386721</v>
      </c>
    </row>
    <row r="16" customFormat="false" ht="12.75" hidden="false" customHeight="false" outlineLevel="0" collapsed="false">
      <c r="A16" s="0" t="s">
        <v>110</v>
      </c>
      <c r="E16" s="25" t="n">
        <f aca="false">+E11-E13</f>
        <v>344018802.229203</v>
      </c>
      <c r="F16" s="25" t="n">
        <f aca="false">+F11-F13</f>
        <v>336767146.994358</v>
      </c>
      <c r="G16" s="25" t="n">
        <f aca="false">+G11-G13</f>
        <v>329184686.326787</v>
      </c>
      <c r="H16" s="25" t="n">
        <f aca="false">+H11-H13</f>
        <v>321262292.321869</v>
      </c>
      <c r="I16" s="25" t="n">
        <f aca="false">+I11-I13</f>
        <v>312772827.973014</v>
      </c>
      <c r="J16" s="25" t="n">
        <f aca="false">+J11-J13</f>
        <v>304137779.30268</v>
      </c>
      <c r="K16" s="25" t="n">
        <f aca="false">+K11-K13</f>
        <v>295133992.428326</v>
      </c>
      <c r="L16" s="25" t="n">
        <f aca="false">+L11-L13</f>
        <v>285751436.17999</v>
      </c>
      <c r="M16" s="25" t="n">
        <f aca="false">+M11-M13</f>
        <v>275786123.711908</v>
      </c>
      <c r="N16" s="25" t="n">
        <f aca="false">+N11-N13</f>
        <v>265610950.126144</v>
      </c>
      <c r="O16" s="25" t="n">
        <f aca="false">+O11-O13</f>
        <v>255025379.876145</v>
      </c>
      <c r="P16" s="25" t="n">
        <f aca="false">+P11-P13</f>
        <v>244018395.22964</v>
      </c>
      <c r="Q16" s="25" t="n">
        <f aca="false">+Q11-Q13</f>
        <v>232468434.485481</v>
      </c>
      <c r="R16" s="25" t="n">
        <f aca="false">+R11-R13</f>
        <v>220582228.784823</v>
      </c>
      <c r="S16" s="25" t="n">
        <f aca="false">+S11-S13</f>
        <v>208239923.805987</v>
      </c>
      <c r="T16" s="25" t="n">
        <f aca="false">+T11-T13</f>
        <v>195429424.989692</v>
      </c>
      <c r="U16" s="25" t="n">
        <f aca="false">+U11-U13</f>
        <v>182005867.562751</v>
      </c>
      <c r="V16" s="25" t="n">
        <f aca="false">+V11-V13</f>
        <v>168218800.502661</v>
      </c>
      <c r="W16" s="25" t="n">
        <f aca="false">+W11-W13</f>
        <v>153925468.845287</v>
      </c>
      <c r="X16" s="25" t="n">
        <f aca="false">+X11-X13</f>
        <v>139112602.073489</v>
      </c>
      <c r="Y16" s="25" t="n">
        <f aca="false">+Y11-Y13</f>
        <v>123672311.783766</v>
      </c>
      <c r="Z16" s="25" t="n">
        <f aca="false">+Z11-Z13</f>
        <v>107777354.899834</v>
      </c>
      <c r="AA16" s="25" t="n">
        <f aca="false">+AA11-AA13</f>
        <v>91321121.6833067</v>
      </c>
      <c r="AB16" s="25" t="n">
        <f aca="false">+AB11-AB13</f>
        <v>74289058.0743094</v>
      </c>
      <c r="AC16" s="25" t="n">
        <f aca="false">+AC11-AC13</f>
        <v>56615909.0868267</v>
      </c>
      <c r="AD16" s="25" t="n">
        <f aca="false">+AD11-AD13</f>
        <v>38386113.4467069</v>
      </c>
      <c r="AE16" s="25" t="n">
        <f aca="false">+AE11-AE13</f>
        <v>19534741.4999693</v>
      </c>
      <c r="AF16" s="25" t="n">
        <f aca="false">+AF11-AF13</f>
        <v>45838.5777516067</v>
      </c>
    </row>
    <row r="17" customFormat="false" ht="12.75" hidden="false" customHeight="false" outlineLevel="0" collapsed="false">
      <c r="E17" s="82"/>
    </row>
    <row r="18" customFormat="false" ht="12.75" hidden="false" customHeight="false" outlineLevel="0" collapsed="false">
      <c r="D18" s="97"/>
      <c r="E18" s="82"/>
    </row>
    <row r="19" customFormat="false" ht="12.75" hidden="false" customHeight="false" outlineLevel="0" collapsed="false">
      <c r="A19" s="0" t="s">
        <v>111</v>
      </c>
      <c r="C19" s="97" t="n">
        <f aca="false">XIRR(D19:AF19,D4:AF4)</f>
        <v>0.0849999999999999</v>
      </c>
      <c r="D19" s="116" t="n">
        <f aca="false">-E8</f>
        <v>-347639385.991063</v>
      </c>
      <c r="E19" s="82" t="n">
        <f aca="false">+E6</f>
        <v>14225862.0604199</v>
      </c>
      <c r="F19" s="82" t="n">
        <f aca="false">+F6</f>
        <v>14403685.3361751</v>
      </c>
      <c r="G19" s="82" t="n">
        <f aca="false">+G6</f>
        <v>14583731.4028773</v>
      </c>
      <c r="H19" s="82" t="n">
        <f aca="false">+H6</f>
        <v>14766028.0454133</v>
      </c>
      <c r="I19" s="82" t="n">
        <f aca="false">+I6</f>
        <v>14950603.3959809</v>
      </c>
      <c r="J19" s="82" t="n">
        <f aca="false">+J6</f>
        <v>15137485.9384307</v>
      </c>
      <c r="K19" s="82" t="n">
        <f aca="false">+K6</f>
        <v>15326704.5126611</v>
      </c>
      <c r="L19" s="82" t="n">
        <f aca="false">+L6</f>
        <v>15518288.3190693</v>
      </c>
      <c r="M19" s="82" t="n">
        <f aca="false">+M6</f>
        <v>15712266.9230577</v>
      </c>
      <c r="N19" s="82" t="n">
        <f aca="false">+N6</f>
        <v>15908670.2595959</v>
      </c>
      <c r="O19" s="82" t="n">
        <f aca="false">+O6</f>
        <v>16107528.6378409</v>
      </c>
      <c r="P19" s="82" t="n">
        <f aca="false">+P6</f>
        <v>16308872.7458139</v>
      </c>
      <c r="Q19" s="82" t="n">
        <f aca="false">+Q6</f>
        <v>16512733.6551366</v>
      </c>
      <c r="R19" s="82" t="n">
        <f aca="false">+R6</f>
        <v>16719142.8258258</v>
      </c>
      <c r="S19" s="82" t="n">
        <f aca="false">+S6</f>
        <v>16928132.0611486</v>
      </c>
      <c r="T19" s="82" t="n">
        <f aca="false">+T6</f>
        <v>17139733.7119129</v>
      </c>
      <c r="U19" s="82" t="n">
        <f aca="false">+U6</f>
        <v>17353980.3833118</v>
      </c>
      <c r="V19" s="82" t="n">
        <f aca="false">+V6</f>
        <v>17570905.1381032</v>
      </c>
      <c r="W19" s="82" t="n">
        <f aca="false">+W6</f>
        <v>17790541.4523295</v>
      </c>
      <c r="X19" s="82" t="n">
        <f aca="false">+X6</f>
        <v>18012923.2204837</v>
      </c>
      <c r="Y19" s="82" t="n">
        <f aca="false">+Y6</f>
        <v>18238084.7607397</v>
      </c>
      <c r="Z19" s="82" t="n">
        <f aca="false">+Z6</f>
        <v>18466060.8202489</v>
      </c>
      <c r="AA19" s="82" t="n">
        <f aca="false">+AA6</f>
        <v>18696886.5805021</v>
      </c>
      <c r="AB19" s="82" t="n">
        <f aca="false">+AB6</f>
        <v>18930597.6627583</v>
      </c>
      <c r="AC19" s="82" t="n">
        <f aca="false">+AC6</f>
        <v>19167230.1335428</v>
      </c>
      <c r="AD19" s="82" t="n">
        <f aca="false">+AD6</f>
        <v>19406820.5102121</v>
      </c>
      <c r="AE19" s="82" t="n">
        <f aca="false">+AE6</f>
        <v>19649405.7665897</v>
      </c>
      <c r="AF19" s="25" t="n">
        <f aca="false">+AF6</f>
        <v>19895023.3386721</v>
      </c>
    </row>
    <row r="20" customFormat="false" ht="12.75" hidden="false" customHeight="false" outlineLevel="0" collapsed="false">
      <c r="D20" s="97"/>
    </row>
    <row r="21" customFormat="false" ht="12.75" hidden="false" customHeight="false" outlineLevel="0" collapsed="false">
      <c r="E21" s="117"/>
    </row>
    <row r="22" customFormat="false" ht="12.75" hidden="false" customHeight="false" outlineLevel="0" collapsed="false">
      <c r="D22" s="114" t="n">
        <v>0.08</v>
      </c>
      <c r="E22" s="114" t="n">
        <v>0.0777620296939473</v>
      </c>
      <c r="F22" s="82" t="n">
        <v>353546615.823697</v>
      </c>
    </row>
    <row r="23" customFormat="false" ht="12.75" hidden="false" customHeight="false" outlineLevel="0" collapsed="false">
      <c r="D23" s="114" t="n">
        <v>0.0825</v>
      </c>
      <c r="E23" s="114" t="n">
        <v>0.0801233349981538</v>
      </c>
      <c r="F23" s="82" t="n">
        <v>350553455.641385</v>
      </c>
    </row>
    <row r="24" customFormat="false" ht="12.75" hidden="false" customHeight="false" outlineLevel="0" collapsed="false">
      <c r="D24" s="114" t="n">
        <v>0.085</v>
      </c>
      <c r="E24" s="114" t="n">
        <v>0.0824806721277564</v>
      </c>
      <c r="F24" s="82" t="n">
        <v>347599999.999999</v>
      </c>
    </row>
    <row r="25" customFormat="false" ht="12.75" hidden="false" customHeight="false" outlineLevel="0" collapsed="false">
      <c r="D25" s="114" t="n">
        <v>0.0875</v>
      </c>
      <c r="E25" s="114" t="n">
        <v>0.0848340576931075</v>
      </c>
      <c r="F25" s="82" t="n">
        <v>344685585.952973</v>
      </c>
    </row>
    <row r="26" customFormat="false" ht="12.75" hidden="false" customHeight="false" outlineLevel="0" collapsed="false">
      <c r="D26" s="114" t="n">
        <v>0.09</v>
      </c>
      <c r="E26" s="114" t="n">
        <v>0.0871835082027364</v>
      </c>
      <c r="F26" s="82" t="n">
        <v>341809563.576477</v>
      </c>
    </row>
    <row r="27" customFormat="false" ht="12.75" hidden="false" customHeight="false" outlineLevel="0" collapsed="false">
      <c r="D27" s="114" t="n">
        <v>0.0925</v>
      </c>
      <c r="E27" s="114" t="n">
        <v>0.0895290400641726</v>
      </c>
      <c r="F27" s="82" t="n">
        <v>338971295.678416</v>
      </c>
    </row>
    <row r="28" customFormat="false" ht="12.75" hidden="false" customHeight="false" outlineLevel="0" collapsed="false">
      <c r="D28" s="114" t="n">
        <v>0.095</v>
      </c>
      <c r="E28" s="114" t="n">
        <v>0.0918706695849129</v>
      </c>
      <c r="F28" s="82" t="n">
        <v>336170157.514675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G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3.7"/>
    <col collapsed="false" customWidth="true" hidden="false" outlineLevel="0" max="7" min="5" style="0" width="11.28"/>
  </cols>
  <sheetData>
    <row r="5" customFormat="false" ht="12.75" hidden="false" customHeight="false" outlineLevel="0" collapsed="false">
      <c r="E5" s="118" t="s">
        <v>112</v>
      </c>
      <c r="F5" s="118" t="s">
        <v>113</v>
      </c>
      <c r="G5" s="118" t="s">
        <v>114</v>
      </c>
    </row>
    <row r="7" customFormat="false" ht="12.75" hidden="false" customHeight="false" outlineLevel="0" collapsed="false">
      <c r="A7" s="0" t="s">
        <v>115</v>
      </c>
      <c r="E7" s="82" t="n">
        <f aca="false">-Summary!I31</f>
        <v>2085.83631594638</v>
      </c>
      <c r="F7" s="82" t="n">
        <v>2454.40157952521</v>
      </c>
      <c r="G7" s="82" t="n">
        <f aca="false">+F7-E7</f>
        <v>368.565263578831</v>
      </c>
    </row>
    <row r="8" customFormat="false" ht="15" hidden="false" customHeight="false" outlineLevel="0" collapsed="false">
      <c r="A8" s="0" t="s">
        <v>116</v>
      </c>
      <c r="E8" s="119" t="n">
        <f aca="false">-Summary!I34</f>
        <v>651.823848733244</v>
      </c>
      <c r="F8" s="119" t="n">
        <v>708.000455632273</v>
      </c>
      <c r="G8" s="119" t="n">
        <f aca="false">+F8-E8</f>
        <v>56.1766068990295</v>
      </c>
    </row>
    <row r="9" customFormat="false" ht="12.75" hidden="false" customHeight="false" outlineLevel="0" collapsed="false">
      <c r="E9" s="82"/>
      <c r="F9" s="82"/>
      <c r="G9" s="82"/>
    </row>
    <row r="10" customFormat="false" ht="12.75" hidden="false" customHeight="false" outlineLevel="0" collapsed="false">
      <c r="A10" s="0" t="s">
        <v>29</v>
      </c>
      <c r="E10" s="82" t="n">
        <f aca="false">+E7+E8</f>
        <v>2737.66016467962</v>
      </c>
      <c r="F10" s="82" t="n">
        <f aca="false">+F7+F8</f>
        <v>3162.40203515748</v>
      </c>
      <c r="G10" s="82" t="n">
        <f aca="false">+G7+G8</f>
        <v>424.74187047786</v>
      </c>
    </row>
    <row r="11" customFormat="false" ht="12.75" hidden="false" customHeight="false" outlineLevel="0" collapsed="false">
      <c r="E11" s="82"/>
      <c r="F11" s="82"/>
      <c r="G11" s="82"/>
    </row>
    <row r="12" customFormat="false" ht="12.75" hidden="false" customHeight="false" outlineLevel="0" collapsed="false">
      <c r="A12" s="0" t="s">
        <v>117</v>
      </c>
      <c r="E12" s="82"/>
      <c r="F12" s="82"/>
      <c r="G12" s="82"/>
    </row>
    <row r="13" customFormat="false" ht="12.75" hidden="false" customHeight="false" outlineLevel="0" collapsed="false">
      <c r="E13" s="82"/>
      <c r="F13" s="82"/>
      <c r="G13" s="82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&amp;C&amp;A&amp;R&amp;D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2000-09-07T12:08:09Z</dcterms:created>
  <dc:creator>brad alford</dc:creator>
  <dc:description/>
  <dc:language>en-US</dc:language>
  <cp:lastModifiedBy>christopher coffman</cp:lastModifiedBy>
  <cp:lastPrinted>2000-11-30T14:46:43Z</cp:lastPrinted>
  <dcterms:modified xsi:type="dcterms:W3CDTF">2000-11-06T16:24:42Z</dcterms:modified>
  <cp:revision>0</cp:revision>
  <dc:subject/>
  <dc:title/>
</cp:coreProperties>
</file>