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nnex 1.02" sheetId="2" state="visible" r:id="rId4"/>
    <sheet name="Contingent" sheetId="3" state="visible" r:id="rId5"/>
    <sheet name="Quarterly" sheetId="4" state="visible" r:id="rId6"/>
  </sheets>
  <definedNames>
    <definedName function="false" hidden="false" localSheetId="2" name="_xlnm.Print_Area" vbProcedure="false">Contingent!$A$1:$R$44</definedName>
    <definedName function="false" hidden="false" localSheetId="3" name="_xlnm.Print_Area" vbProcedure="false">Quarterly!$A$1:$Q$14</definedName>
    <definedName function="false" hidden="false" localSheetId="3" name="solver_adj" vbProcedure="false">Quarterly!$E$11</definedName>
    <definedName function="false" hidden="false" localSheetId="3" name="solver_cvg" vbProcedure="false">0.001</definedName>
    <definedName function="false" hidden="false" localSheetId="3" name="solver_drv" vbProcedure="false">1</definedName>
    <definedName function="false" hidden="false" localSheetId="3" name="solver_est" vbProcedure="false">1</definedName>
    <definedName function="false" hidden="false" localSheetId="3" name="solver_itr" vbProcedure="false">100</definedName>
    <definedName function="false" hidden="false" localSheetId="3" name="solver_lin" vbProcedure="false">2</definedName>
    <definedName function="false" hidden="false" localSheetId="3" name="solver_neg" vbProcedure="false">2</definedName>
    <definedName function="false" hidden="false" localSheetId="3" name="solver_num" vbProcedure="false">0</definedName>
    <definedName function="false" hidden="false" localSheetId="3" name="solver_nwt" vbProcedure="false">1</definedName>
    <definedName function="false" hidden="false" localSheetId="3" name="solver_opt" vbProcedure="false">Quarterly!$AE$16</definedName>
    <definedName function="false" hidden="false" localSheetId="3" name="solver_pre" vbProcedure="false">0.000001</definedName>
    <definedName function="false" hidden="false" localSheetId="3" name="solver_scl" vbProcedure="false">2</definedName>
    <definedName function="false" hidden="false" localSheetId="3" name="solver_sho" vbProcedure="false">2</definedName>
    <definedName function="false" hidden="false" localSheetId="3" name="solver_tim" vbProcedure="false">100</definedName>
    <definedName function="false" hidden="false" localSheetId="3" name="solver_tol" vbProcedure="false">0.05</definedName>
    <definedName function="false" hidden="false" localSheetId="3" name="solver_typ" vbProcedure="false">3</definedName>
    <definedName function="false" hidden="false" localSheetId="3" name="solver_val" vbProcedure="false">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<sst xmlns="http://schemas.openxmlformats.org/spreadsheetml/2006/main" count="104" uniqueCount="89">
  <si>
    <t xml:space="preserve">El Paso Offer Analysis</t>
  </si>
  <si>
    <t xml:space="preserve">($000's except where noted)</t>
  </si>
  <si>
    <t xml:space="preserve">Inputs</t>
  </si>
  <si>
    <t xml:space="preserve">Sensitivity Analysis - 7 years</t>
  </si>
  <si>
    <t xml:space="preserve">Deferred Payment Discount Rate</t>
  </si>
  <si>
    <t xml:space="preserve">Discount Rate</t>
  </si>
  <si>
    <t xml:space="preserve">Issue Date</t>
  </si>
  <si>
    <t xml:space="preserve">Enron Profit (Loss) (c)</t>
  </si>
  <si>
    <t xml:space="preserve">Contingent Payment Discount Rate</t>
  </si>
  <si>
    <t xml:space="preserve">Expenses as a % of Total Offering</t>
  </si>
  <si>
    <t xml:space="preserve">10bps</t>
  </si>
  <si>
    <t xml:space="preserve">Placement Fee as a % of Total Offering</t>
  </si>
  <si>
    <t xml:space="preserve">JEDI II Placement Advisory Fee</t>
  </si>
  <si>
    <t xml:space="preserve">JEDI II M&amp;A Advisory fee</t>
  </si>
  <si>
    <t xml:space="preserve">Offering Price Analysis</t>
  </si>
  <si>
    <t xml:space="preserve">JEDI II Carrying Value</t>
  </si>
  <si>
    <t xml:space="preserve">Subordinated Note Carrying Value</t>
  </si>
  <si>
    <t xml:space="preserve">Offering Proceeds</t>
  </si>
  <si>
    <t xml:space="preserve">Initial Deferred Payment (7 years - 27 payments)</t>
  </si>
  <si>
    <t xml:space="preserve">Implied Coupon</t>
  </si>
  <si>
    <t xml:space="preserve">Contingent Payment $/kw (Linden Only - 678MW)</t>
  </si>
  <si>
    <t xml:space="preserve">2001 Contingent Payment</t>
  </si>
  <si>
    <t xml:space="preserve">Transaction Analysis</t>
  </si>
  <si>
    <t xml:space="preserve">JEDI II</t>
  </si>
  <si>
    <t xml:space="preserve">SubNotes</t>
  </si>
  <si>
    <t xml:space="preserve">Total</t>
  </si>
  <si>
    <t xml:space="preserve">Deferred Payments</t>
  </si>
  <si>
    <t xml:space="preserve">Gross Proceeds (a)</t>
  </si>
  <si>
    <t xml:space="preserve">JEDI II Accrued Interest thru 15-Dec</t>
  </si>
  <si>
    <t xml:space="preserve">Allocation of Gross Proceeds</t>
  </si>
  <si>
    <t xml:space="preserve">EPG Accrued Interest thru 15-Dec (b)</t>
  </si>
  <si>
    <t xml:space="preserve">Placement Fees</t>
  </si>
  <si>
    <t xml:space="preserve">Placement Advisory Fee</t>
  </si>
  <si>
    <t xml:space="preserve">M&amp;A Advisory Fee</t>
  </si>
  <si>
    <t xml:space="preserve">Expenses</t>
  </si>
  <si>
    <t xml:space="preserve">Net Proceeds</t>
  </si>
  <si>
    <t xml:space="preserve">Contingent Payments</t>
  </si>
  <si>
    <t xml:space="preserve">Probability Adjusted</t>
  </si>
  <si>
    <t xml:space="preserve">no</t>
  </si>
  <si>
    <t xml:space="preserve">Transaction Value</t>
  </si>
  <si>
    <t xml:space="preserve">Enron</t>
  </si>
  <si>
    <t xml:space="preserve">50% JEDI II</t>
  </si>
  <si>
    <t xml:space="preserve">Carrying Value</t>
  </si>
  <si>
    <t xml:space="preserve">Placement Advisory Fee Income</t>
  </si>
  <si>
    <t xml:space="preserve">M&amp;A Advisory Fee Income</t>
  </si>
  <si>
    <t xml:space="preserve">Profit (Loss) (c)</t>
  </si>
  <si>
    <t xml:space="preserve">(a)  Proceeds to be prorated to reflect JEDI II share of accrued interest on SubNotes through closing.</t>
  </si>
  <si>
    <t xml:space="preserve">(b)  To be paid in cash by Mesquite at closing.</t>
  </si>
  <si>
    <t xml:space="preserve">(c)  Includes interest income on the SubNotes for the period through closing (assumed to be 15-Dec-00 or $3,521).</t>
  </si>
  <si>
    <t xml:space="preserve">Deferred Payments @ 8.2481% Coupon</t>
  </si>
  <si>
    <t xml:space="preserve">Payment</t>
  </si>
  <si>
    <t xml:space="preserve">Date</t>
  </si>
  <si>
    <t xml:space="preserve">Amortization</t>
  </si>
  <si>
    <t xml:space="preserve">Principal</t>
  </si>
  <si>
    <t xml:space="preserve">Interest</t>
  </si>
  <si>
    <t xml:space="preserve">Totals</t>
  </si>
  <si>
    <t xml:space="preserve">If restructuring of Linden occurs:</t>
  </si>
  <si>
    <t xml:space="preserve">After</t>
  </si>
  <si>
    <t xml:space="preserve">On or Before</t>
  </si>
  <si>
    <t xml:space="preserve">Closing</t>
  </si>
  <si>
    <t xml:space="preserve">Thereafter</t>
  </si>
  <si>
    <t xml:space="preserve">Annual Proposal</t>
  </si>
  <si>
    <t xml:space="preserve">Payment Dates</t>
  </si>
  <si>
    <t xml:space="preserve">Payment Escalator</t>
  </si>
  <si>
    <t xml:space="preserve">PV</t>
  </si>
  <si>
    <t xml:space="preserve">Scheduled Payments</t>
  </si>
  <si>
    <t xml:space="preserve">New Contingent Payment Dates</t>
  </si>
  <si>
    <t xml:space="preserve">Available Restructuring MW's</t>
  </si>
  <si>
    <t xml:space="preserve">Linden</t>
  </si>
  <si>
    <t xml:space="preserve">Bayonne</t>
  </si>
  <si>
    <t xml:space="preserve">Camden</t>
  </si>
  <si>
    <t xml:space="preserve">Restructuring Payment $/kw</t>
  </si>
  <si>
    <t xml:space="preserve">New Contingent Payments</t>
  </si>
  <si>
    <t xml:space="preserve">Total Offer Value</t>
  </si>
  <si>
    <t xml:space="preserve">Probability</t>
  </si>
  <si>
    <t xml:space="preserve">Probablilty Adjusted</t>
  </si>
  <si>
    <t xml:space="preserve">9/25/2000</t>
  </si>
  <si>
    <t xml:space="preserve">Exercie Price Computation</t>
  </si>
  <si>
    <t xml:space="preserve">Implied Exercise Price Immediately</t>
  </si>
  <si>
    <t xml:space="preserve">Following Payment</t>
  </si>
  <si>
    <t xml:space="preserve">Quarterly Deferred Payment Proposal</t>
  </si>
  <si>
    <t xml:space="preserve">Deferred Payment Schedule</t>
  </si>
  <si>
    <t xml:space="preserve">Payments</t>
  </si>
  <si>
    <t xml:space="preserve">XNPV</t>
  </si>
  <si>
    <t xml:space="preserve">7 year</t>
  </si>
  <si>
    <t xml:space="preserve">Coupon</t>
  </si>
  <si>
    <t xml:space="preserve">Beginning Principal Balance</t>
  </si>
  <si>
    <t xml:space="preserve">Ending Principal Balance</t>
  </si>
  <si>
    <t xml:space="preserve">XIRR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</si>
</sst>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d\-mmm"/>
    <numFmt numFmtId="166" formatCode="0%"/>
    <numFmt numFmtId="167" formatCode="0.000%"/>
    <numFmt numFmtId="168" formatCode="0.00%"/>
    <numFmt numFmtId="169" formatCode="dd\-mmm\-yy"/>
    <numFmt numFmtId="170" formatCode="_(* #,##0.00_);_(* \(#,##0.00\);_(* \-??_);_(@_)"/>
    <numFmt numFmtId="171" formatCode="_(* #,##0_);_(* \(#,##0\);_(* \-??_);_(@_)"/>
    <numFmt numFmtId="172" formatCode="0"/>
    <numFmt numFmtId="173" formatCode="_(* #,##0.0000_);_(* \(#,##0.0000\);_(* \-??_);_(@_)"/>
    <numFmt numFmtId="174" formatCode="[$-409]d\-mmm\-yy"/>
    <numFmt numFmtId="175" formatCode="0.0000%"/>
    <numFmt numFmtId="176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3.7"/>
    <col collapsed="false" customWidth="true" hidden="false" outlineLevel="0" max="6" min="4" style="0" width="11.28"/>
    <col collapsed="false" customWidth="true" hidden="false" outlineLevel="0" max="9" min="7" style="0" width="14.7"/>
    <col collapsed="false" customWidth="true" hidden="false" outlineLevel="0" max="11" min="10" style="0" width="5.28"/>
    <col collapsed="false" customWidth="true" hidden="false" outlineLevel="0" max="12" min="12" style="0" width="13.41"/>
    <col collapsed="false" customWidth="true" hidden="false" outlineLevel="0" max="18" min="13" style="0" width="9.56"/>
  </cols>
  <sheetData>
    <row r="1" customFormat="false" ht="30" hidden="false" customHeight="false" outlineLevel="0" collapsed="false">
      <c r="A1" s="1" t="s">
        <v>0</v>
      </c>
    </row>
    <row r="2" customFormat="false" ht="18" hidden="false" customHeight="true" outlineLevel="0" collapsed="false">
      <c r="A2" s="2" t="s">
        <v>1</v>
      </c>
      <c r="G2" s="3"/>
    </row>
    <row r="3" customFormat="false" ht="18" hidden="false" customHeight="true" outlineLevel="0" collapsed="false">
      <c r="A3" s="1"/>
    </row>
    <row r="4" customFormat="false" ht="12.75" hidden="false" customHeight="false" outlineLevel="0" collapsed="false">
      <c r="A4" s="4" t="s">
        <v>2</v>
      </c>
      <c r="B4" s="5"/>
      <c r="C4" s="5"/>
      <c r="D4" s="5"/>
      <c r="E4" s="5"/>
      <c r="F4" s="5"/>
      <c r="G4" s="5"/>
      <c r="I4" s="6" t="s">
        <v>3</v>
      </c>
    </row>
    <row r="5" customFormat="false" ht="12.75" hidden="false" customHeight="false" outlineLevel="0" collapsed="false">
      <c r="A5" s="7" t="s">
        <v>4</v>
      </c>
      <c r="B5" s="8"/>
      <c r="C5" s="8"/>
      <c r="D5" s="8"/>
      <c r="E5" s="8"/>
      <c r="F5" s="8"/>
      <c r="G5" s="9" t="n">
        <v>0.085</v>
      </c>
      <c r="I5" s="7" t="s">
        <v>5</v>
      </c>
      <c r="J5" s="8"/>
      <c r="K5" s="8"/>
      <c r="L5" s="10" t="n">
        <v>0.08</v>
      </c>
      <c r="M5" s="11" t="n">
        <v>0.0825</v>
      </c>
      <c r="N5" s="11" t="n">
        <v>0.085</v>
      </c>
      <c r="O5" s="11" t="n">
        <v>0.0875</v>
      </c>
      <c r="P5" s="11" t="n">
        <v>0.09</v>
      </c>
      <c r="Q5" s="11" t="n">
        <v>0.0925</v>
      </c>
      <c r="R5" s="12" t="n">
        <v>0.095</v>
      </c>
    </row>
    <row r="6" customFormat="false" ht="12.75" hidden="false" customHeight="false" outlineLevel="0" collapsed="false">
      <c r="A6" s="13" t="s">
        <v>6</v>
      </c>
      <c r="G6" s="14" t="n">
        <v>36875</v>
      </c>
      <c r="I6" s="15" t="s">
        <v>7</v>
      </c>
      <c r="J6" s="16"/>
      <c r="K6" s="17" t="n">
        <f aca="false">+I49</f>
        <v>7934.0091754301</v>
      </c>
      <c r="L6" s="18" t="n">
        <f aca="true">TABLE($K6,$G$5,L$5)</f>
        <v>10901.7421349446</v>
      </c>
      <c r="M6" s="18" t="n">
        <f aca="true">TABLE($K6,$G$5,M$5)</f>
        <v>9407.96813145929</v>
      </c>
      <c r="N6" s="18" t="n">
        <f aca="true">TABLE($K6,$G$5,N$5)</f>
        <v>7934.0091754301</v>
      </c>
      <c r="O6" s="18" t="n">
        <f aca="true">TABLE($K6,$G$5,O$5)</f>
        <v>6479.53441508625</v>
      </c>
      <c r="P6" s="18" t="n">
        <f aca="true">TABLE($K6,$G$5,P$5)</f>
        <v>5044.2194978164</v>
      </c>
      <c r="Q6" s="18" t="n">
        <f aca="true">TABLE($K6,$G$5,Q$5)</f>
        <v>3627.74642494037</v>
      </c>
      <c r="R6" s="19" t="n">
        <f aca="true">TABLE($K6,$G$5,R$5)</f>
        <v>2229.80341009827</v>
      </c>
    </row>
    <row r="7" customFormat="false" ht="12.75" hidden="false" customHeight="false" outlineLevel="0" collapsed="false">
      <c r="A7" s="13" t="s">
        <v>8</v>
      </c>
      <c r="B7" s="5"/>
      <c r="C7" s="5"/>
      <c r="D7" s="5"/>
      <c r="E7" s="5"/>
      <c r="F7" s="5"/>
      <c r="G7" s="20" t="n">
        <v>0.116</v>
      </c>
    </row>
    <row r="8" customFormat="false" ht="12.75" hidden="false" customHeight="false" outlineLevel="0" collapsed="false">
      <c r="A8" s="13" t="s">
        <v>9</v>
      </c>
      <c r="B8" s="5"/>
      <c r="C8" s="5"/>
      <c r="D8" s="5"/>
      <c r="E8" s="5"/>
      <c r="F8" s="5"/>
      <c r="G8" s="20" t="n">
        <v>0.001875</v>
      </c>
      <c r="I8" s="0" t="s">
        <v>10</v>
      </c>
      <c r="M8" s="21" t="n">
        <f aca="false">((+L6-M6)/25)*10</f>
        <v>597.50960139412</v>
      </c>
      <c r="N8" s="21" t="n">
        <f aca="false">((+M6-N6)/25)*10</f>
        <v>589.583582411678</v>
      </c>
      <c r="O8" s="21" t="n">
        <f aca="false">((+N6-O6)/25)*10</f>
        <v>581.78990413754</v>
      </c>
      <c r="P8" s="21" t="n">
        <f aca="false">((+O6-P6)/25)*10</f>
        <v>574.125966907939</v>
      </c>
      <c r="Q8" s="21" t="n">
        <f aca="false">((+P6-Q6)/25)*10</f>
        <v>566.589229150411</v>
      </c>
      <c r="R8" s="21" t="n">
        <f aca="false">((+Q6-R6)/25)*10</f>
        <v>559.177205936842</v>
      </c>
    </row>
    <row r="9" customFormat="false" ht="12.75" hidden="false" customHeight="false" outlineLevel="0" collapsed="false">
      <c r="A9" s="13" t="s">
        <v>11</v>
      </c>
      <c r="B9" s="5"/>
      <c r="C9" s="5"/>
      <c r="D9" s="5"/>
      <c r="E9" s="5"/>
      <c r="F9" s="5"/>
      <c r="G9" s="20" t="n">
        <v>0.005</v>
      </c>
    </row>
    <row r="10" customFormat="false" ht="12.75" hidden="false" customHeight="false" outlineLevel="0" collapsed="false">
      <c r="A10" s="13" t="s">
        <v>12</v>
      </c>
      <c r="B10" s="5"/>
      <c r="C10" s="5"/>
      <c r="D10" s="5"/>
      <c r="E10" s="5"/>
      <c r="F10" s="5"/>
      <c r="G10" s="20" t="n">
        <v>0.005</v>
      </c>
    </row>
    <row r="11" customFormat="false" ht="12.75" hidden="false" customHeight="false" outlineLevel="0" collapsed="false">
      <c r="A11" s="13" t="s">
        <v>13</v>
      </c>
      <c r="B11" s="5"/>
      <c r="C11" s="5"/>
      <c r="D11" s="5"/>
      <c r="E11" s="5"/>
      <c r="F11" s="5"/>
      <c r="G11" s="22" t="n">
        <v>3000</v>
      </c>
      <c r="I11" s="6" t="s">
        <v>14</v>
      </c>
      <c r="J11" s="5"/>
      <c r="K11" s="5"/>
      <c r="L11" s="23"/>
      <c r="M11" s="24"/>
      <c r="N11" s="24"/>
      <c r="O11" s="24"/>
      <c r="P11" s="24"/>
      <c r="Q11" s="24"/>
    </row>
    <row r="12" customFormat="false" ht="12.75" hidden="false" customHeight="false" outlineLevel="0" collapsed="false">
      <c r="A12" s="13" t="s">
        <v>15</v>
      </c>
      <c r="B12" s="5"/>
      <c r="C12" s="5"/>
      <c r="D12" s="5"/>
      <c r="E12" s="5"/>
      <c r="F12" s="5"/>
      <c r="G12" s="22" t="n">
        <v>202212</v>
      </c>
      <c r="I12" s="7" t="s">
        <v>5</v>
      </c>
      <c r="J12" s="8"/>
      <c r="K12" s="25"/>
      <c r="L12" s="10" t="n">
        <f aca="false">+L5</f>
        <v>0.08</v>
      </c>
      <c r="M12" s="10" t="n">
        <f aca="false">+M5</f>
        <v>0.0825</v>
      </c>
      <c r="N12" s="10" t="n">
        <f aca="false">+N5</f>
        <v>0.085</v>
      </c>
      <c r="O12" s="10" t="n">
        <f aca="false">+O5</f>
        <v>0.0875</v>
      </c>
      <c r="P12" s="10" t="n">
        <f aca="false">+P5</f>
        <v>0.09</v>
      </c>
      <c r="Q12" s="10" t="n">
        <f aca="false">+Q5</f>
        <v>0.0925</v>
      </c>
      <c r="R12" s="26" t="n">
        <f aca="false">+R5</f>
        <v>0.095</v>
      </c>
    </row>
    <row r="13" customFormat="false" ht="12.75" hidden="false" customHeight="false" outlineLevel="0" collapsed="false">
      <c r="A13" s="13" t="s">
        <v>16</v>
      </c>
      <c r="B13" s="5"/>
      <c r="C13" s="5"/>
      <c r="D13" s="5"/>
      <c r="E13" s="5"/>
      <c r="F13" s="5"/>
      <c r="G13" s="22" t="n">
        <v>157900</v>
      </c>
      <c r="I13" s="13" t="s">
        <v>17</v>
      </c>
      <c r="J13" s="5"/>
      <c r="K13" s="27" t="n">
        <f aca="false">+I22</f>
        <v>347599.999999999</v>
      </c>
      <c r="L13" s="21" t="n">
        <f aca="true">TABLE($K13,$G$5,L$12)</f>
        <v>353546.615823697</v>
      </c>
      <c r="M13" s="21" t="n">
        <f aca="true">TABLE($K13,$G$5,M$12)</f>
        <v>350553.455641385</v>
      </c>
      <c r="N13" s="21" t="n">
        <f aca="true">TABLE($K13,$G$5,N$12)</f>
        <v>347599.999999999</v>
      </c>
      <c r="O13" s="21" t="n">
        <f aca="true">TABLE($K13,$G$5,O$12)</f>
        <v>344685.585952973</v>
      </c>
      <c r="P13" s="21" t="n">
        <f aca="true">TABLE($K13,$G$5,P$12)</f>
        <v>341809.563576477</v>
      </c>
      <c r="Q13" s="21" t="n">
        <f aca="true">TABLE($K13,$G$5,Q$12)</f>
        <v>338971.295678416</v>
      </c>
      <c r="R13" s="28" t="n">
        <f aca="true">TABLE($K13,$G$5,R$12)</f>
        <v>336170.157514675</v>
      </c>
    </row>
    <row r="14" customFormat="false" ht="12.75" hidden="false" customHeight="false" outlineLevel="0" collapsed="false">
      <c r="A14" s="13" t="s">
        <v>18</v>
      </c>
      <c r="B14" s="5"/>
      <c r="C14" s="5"/>
      <c r="D14" s="5"/>
      <c r="E14" s="5"/>
      <c r="F14" s="5"/>
      <c r="G14" s="22" t="n">
        <v>14275.2088658946</v>
      </c>
      <c r="I14" s="15" t="s">
        <v>19</v>
      </c>
      <c r="J14" s="16"/>
      <c r="K14" s="16"/>
      <c r="L14" s="29" t="n">
        <f aca="false">LOOKUP(L12,Quarterly!$D$22:$E$28)</f>
        <v>0.0777620296939473</v>
      </c>
      <c r="M14" s="29" t="n">
        <f aca="false">LOOKUP(M12,Quarterly!$D$22:$E$28)</f>
        <v>0.0801233349981538</v>
      </c>
      <c r="N14" s="29" t="n">
        <f aca="false">LOOKUP(N12,Quarterly!$D$22:$E$28)</f>
        <v>0.0824806721277564</v>
      </c>
      <c r="O14" s="29" t="n">
        <f aca="false">LOOKUP(O12,Quarterly!$D$22:$E$28)</f>
        <v>0.0848340576931075</v>
      </c>
      <c r="P14" s="29" t="n">
        <f aca="false">LOOKUP(P12,Quarterly!$D$22:$E$28)</f>
        <v>0.0871835082027364</v>
      </c>
      <c r="Q14" s="29" t="n">
        <f aca="false">LOOKUP(Q12,Quarterly!$D$22:$E$28)</f>
        <v>0.0895290400641726</v>
      </c>
      <c r="R14" s="30" t="n">
        <f aca="false">LOOKUP(R12,Quarterly!$D$22:$E$28)</f>
        <v>0.0918706695849129</v>
      </c>
    </row>
    <row r="15" customFormat="false" ht="12.75" hidden="false" customHeight="false" outlineLevel="0" collapsed="false">
      <c r="A15" s="13" t="s">
        <v>20</v>
      </c>
      <c r="B15" s="5"/>
      <c r="C15" s="5"/>
      <c r="D15" s="5"/>
      <c r="E15" s="5"/>
      <c r="F15" s="5"/>
      <c r="G15" s="31" t="n">
        <v>38.5</v>
      </c>
      <c r="I15" s="5"/>
      <c r="J15" s="5"/>
      <c r="K15" s="5"/>
      <c r="L15" s="21"/>
      <c r="M15" s="21"/>
      <c r="N15" s="21"/>
      <c r="O15" s="21"/>
      <c r="P15" s="21"/>
      <c r="Q15" s="21"/>
      <c r="R15" s="32"/>
    </row>
    <row r="16" customFormat="false" ht="12.75" hidden="false" customHeight="false" outlineLevel="0" collapsed="false">
      <c r="A16" s="15" t="s">
        <v>21</v>
      </c>
      <c r="B16" s="16"/>
      <c r="C16" s="16"/>
      <c r="D16" s="16"/>
      <c r="E16" s="16"/>
      <c r="F16" s="16"/>
      <c r="G16" s="33" t="n">
        <f aca="false">+Contingent!F32</f>
        <v>26103</v>
      </c>
      <c r="I16" s="5"/>
      <c r="J16" s="5"/>
      <c r="K16" s="5"/>
      <c r="L16" s="34"/>
      <c r="M16" s="34"/>
      <c r="N16" s="34"/>
      <c r="O16" s="34"/>
      <c r="P16" s="34"/>
      <c r="Q16" s="34"/>
      <c r="R16" s="34"/>
    </row>
    <row r="17" customFormat="false" ht="12.75" hidden="false" customHeight="false" outlineLevel="0" collapsed="false">
      <c r="I17" s="5"/>
      <c r="J17" s="5"/>
      <c r="K17" s="5"/>
      <c r="L17" s="23"/>
      <c r="M17" s="24"/>
      <c r="N17" s="24"/>
      <c r="O17" s="24"/>
      <c r="P17" s="24"/>
      <c r="Q17" s="24"/>
    </row>
    <row r="18" customFormat="false" ht="12.75" hidden="false" customHeight="false" outlineLevel="0" collapsed="false">
      <c r="G18" s="35"/>
    </row>
    <row r="19" customFormat="false" ht="12.75" hidden="false" customHeight="false" outlineLevel="0" collapsed="false">
      <c r="A19" s="6" t="s">
        <v>22</v>
      </c>
      <c r="G19" s="36"/>
      <c r="M19" s="21"/>
      <c r="N19" s="21"/>
      <c r="O19" s="21"/>
      <c r="P19" s="21"/>
      <c r="Q19" s="21"/>
    </row>
    <row r="20" customFormat="false" ht="12.75" hidden="false" customHeight="false" outlineLevel="0" collapsed="false">
      <c r="A20" s="7"/>
      <c r="B20" s="8"/>
      <c r="C20" s="8"/>
      <c r="D20" s="8"/>
      <c r="E20" s="8"/>
      <c r="F20" s="8"/>
      <c r="G20" s="37" t="s">
        <v>23</v>
      </c>
      <c r="H20" s="37" t="s">
        <v>24</v>
      </c>
      <c r="I20" s="38" t="s">
        <v>25</v>
      </c>
    </row>
    <row r="21" customFormat="false" ht="12.75" hidden="false" customHeight="false" outlineLevel="0" collapsed="false">
      <c r="A21" s="39" t="s">
        <v>26</v>
      </c>
      <c r="B21" s="5"/>
      <c r="C21" s="5"/>
      <c r="D21" s="5"/>
      <c r="E21" s="5"/>
      <c r="G21" s="5"/>
      <c r="H21" s="5"/>
      <c r="I21" s="40"/>
    </row>
    <row r="22" customFormat="false" ht="12.75" hidden="false" customHeight="false" outlineLevel="0" collapsed="false">
      <c r="A22" s="13"/>
      <c r="B22" s="5" t="s">
        <v>27</v>
      </c>
      <c r="C22" s="5"/>
      <c r="D22" s="5"/>
      <c r="E22" s="5"/>
      <c r="G22" s="21" t="n">
        <f aca="false">+I22-H22</f>
        <v>189699.999999999</v>
      </c>
      <c r="H22" s="41" t="n">
        <f aca="false">+G13</f>
        <v>157900</v>
      </c>
      <c r="I22" s="42" t="n">
        <f aca="false">+Quarterly!E8/1000</f>
        <v>347599.999999999</v>
      </c>
    </row>
    <row r="23" customFormat="false" ht="15" hidden="false" customHeight="false" outlineLevel="0" collapsed="false">
      <c r="A23" s="13"/>
      <c r="B23" s="5" t="s">
        <v>28</v>
      </c>
      <c r="C23" s="5"/>
      <c r="D23" s="5"/>
      <c r="E23" s="5"/>
      <c r="G23" s="43" t="n">
        <f aca="false">-H23</f>
        <v>-1509.09139726028</v>
      </c>
      <c r="H23" s="44" t="n">
        <f aca="false">+G13*0.09*0.208219178082192*0.51</f>
        <v>1509.09139726028</v>
      </c>
      <c r="I23" s="45" t="n">
        <f aca="false">+G23+H23</f>
        <v>0</v>
      </c>
    </row>
    <row r="24" customFormat="false" ht="15" hidden="false" customHeight="false" outlineLevel="0" collapsed="false">
      <c r="A24" s="13"/>
      <c r="B24" s="5"/>
      <c r="C24" s="5"/>
      <c r="D24" s="5"/>
      <c r="E24" s="5"/>
      <c r="G24" s="43"/>
      <c r="H24" s="44"/>
      <c r="I24" s="45"/>
    </row>
    <row r="25" customFormat="false" ht="12.75" hidden="false" customHeight="false" outlineLevel="0" collapsed="false">
      <c r="A25" s="13"/>
      <c r="B25" s="5" t="s">
        <v>29</v>
      </c>
      <c r="D25" s="5"/>
      <c r="E25" s="5"/>
      <c r="G25" s="46" t="n">
        <f aca="false">+G22+G23</f>
        <v>188190.908602738</v>
      </c>
      <c r="H25" s="21" t="n">
        <f aca="false">+H22+H23</f>
        <v>159409.09139726</v>
      </c>
      <c r="I25" s="42" t="n">
        <f aca="false">+G25+H25</f>
        <v>347599.999999999</v>
      </c>
    </row>
    <row r="26" customFormat="false" ht="12.75" hidden="false" customHeight="false" outlineLevel="0" collapsed="false">
      <c r="A26" s="13"/>
      <c r="B26" s="5"/>
      <c r="C26" s="5"/>
      <c r="D26" s="5"/>
      <c r="E26" s="5"/>
      <c r="G26" s="46"/>
      <c r="H26" s="21"/>
      <c r="I26" s="42"/>
    </row>
    <row r="27" customFormat="false" ht="12.75" hidden="false" customHeight="false" outlineLevel="0" collapsed="false">
      <c r="A27" s="13"/>
      <c r="B27" s="5" t="s">
        <v>30</v>
      </c>
      <c r="C27" s="5"/>
      <c r="D27" s="5"/>
      <c r="E27" s="5"/>
      <c r="G27" s="21" t="n">
        <v>0</v>
      </c>
      <c r="H27" s="41" t="n">
        <f aca="false">G13*0.09*0.208219178082192*0.49</f>
        <v>1449.91134246575</v>
      </c>
      <c r="I27" s="42" t="n">
        <f aca="false">+G27+H27</f>
        <v>1449.91134246575</v>
      </c>
    </row>
    <row r="28" customFormat="false" ht="12.75" hidden="false" customHeight="false" outlineLevel="0" collapsed="false">
      <c r="A28" s="13"/>
      <c r="B28" s="5" t="s">
        <v>31</v>
      </c>
      <c r="C28" s="5"/>
      <c r="D28" s="5"/>
      <c r="E28" s="5"/>
      <c r="G28" s="21" t="n">
        <f aca="false">-G25*$G$9</f>
        <v>-940.954543013692</v>
      </c>
      <c r="H28" s="21" t="n">
        <f aca="false">-H25*$G$9</f>
        <v>-797.045456986302</v>
      </c>
      <c r="I28" s="28" t="n">
        <f aca="false">+G28+H28</f>
        <v>-1737.99999999999</v>
      </c>
    </row>
    <row r="29" customFormat="false" ht="12.75" hidden="false" customHeight="false" outlineLevel="0" collapsed="false">
      <c r="A29" s="13"/>
      <c r="B29" s="5" t="s">
        <v>32</v>
      </c>
      <c r="C29" s="5"/>
      <c r="D29" s="5"/>
      <c r="E29" s="5"/>
      <c r="G29" s="21" t="n">
        <f aca="false">-G25*$G$10</f>
        <v>-940.954543013692</v>
      </c>
      <c r="H29" s="21" t="n">
        <v>0</v>
      </c>
      <c r="I29" s="28" t="n">
        <f aca="false">+G29+H29</f>
        <v>-940.954543013692</v>
      </c>
    </row>
    <row r="30" customFormat="false" ht="12.75" hidden="false" customHeight="false" outlineLevel="0" collapsed="false">
      <c r="A30" s="13"/>
      <c r="B30" s="5" t="s">
        <v>33</v>
      </c>
      <c r="C30" s="5"/>
      <c r="D30" s="5"/>
      <c r="E30" s="5"/>
      <c r="G30" s="21" t="n">
        <f aca="false">-G11</f>
        <v>-3000</v>
      </c>
      <c r="H30" s="21" t="n">
        <v>0</v>
      </c>
      <c r="I30" s="28" t="n">
        <f aca="false">+G30+H30</f>
        <v>-3000</v>
      </c>
    </row>
    <row r="31" customFormat="false" ht="15" hidden="false" customHeight="false" outlineLevel="0" collapsed="false">
      <c r="A31" s="13"/>
      <c r="B31" s="5" t="s">
        <v>34</v>
      </c>
      <c r="C31" s="5"/>
      <c r="D31" s="5"/>
      <c r="E31" s="5"/>
      <c r="G31" s="44" t="n">
        <f aca="false">-G25*$G$8</f>
        <v>-352.857953630135</v>
      </c>
      <c r="H31" s="44" t="n">
        <f aca="false">-H25*$G$8</f>
        <v>-298.892046369863</v>
      </c>
      <c r="I31" s="47" t="n">
        <f aca="false">+G31+H31</f>
        <v>-651.749999999998</v>
      </c>
    </row>
    <row r="32" customFormat="false" ht="12.75" hidden="false" customHeight="false" outlineLevel="0" collapsed="false">
      <c r="A32" s="13"/>
      <c r="B32" s="5"/>
      <c r="C32" s="5"/>
      <c r="D32" s="5"/>
      <c r="E32" s="5"/>
      <c r="G32" s="5"/>
      <c r="H32" s="5"/>
      <c r="I32" s="40"/>
    </row>
    <row r="33" customFormat="false" ht="12.75" hidden="false" customHeight="false" outlineLevel="0" collapsed="false">
      <c r="A33" s="13"/>
      <c r="B33" s="5" t="s">
        <v>35</v>
      </c>
      <c r="C33" s="5"/>
      <c r="D33" s="5"/>
      <c r="E33" s="5"/>
      <c r="G33" s="21" t="n">
        <f aca="false">SUM(G25:G31)</f>
        <v>182956.141563081</v>
      </c>
      <c r="H33" s="21" t="n">
        <f aca="false">SUM(H25:H31)</f>
        <v>159763.06523637</v>
      </c>
      <c r="I33" s="28" t="n">
        <f aca="false">SUM(I25:I31)</f>
        <v>342719.206799451</v>
      </c>
    </row>
    <row r="34" customFormat="false" ht="12.75" hidden="false" customHeight="false" outlineLevel="0" collapsed="false">
      <c r="A34" s="13"/>
      <c r="B34" s="5"/>
      <c r="C34" s="5"/>
      <c r="D34" s="5"/>
      <c r="E34" s="5"/>
      <c r="G34" s="5"/>
      <c r="H34" s="5"/>
      <c r="I34" s="40"/>
    </row>
    <row r="35" customFormat="false" ht="12.75" hidden="false" customHeight="false" outlineLevel="0" collapsed="false">
      <c r="A35" s="39" t="s">
        <v>36</v>
      </c>
      <c r="B35" s="5"/>
      <c r="C35" s="5"/>
      <c r="D35" s="5"/>
      <c r="E35" s="5"/>
      <c r="G35" s="5"/>
      <c r="H35" s="5"/>
      <c r="I35" s="40"/>
    </row>
    <row r="36" customFormat="false" ht="15" hidden="false" customHeight="false" outlineLevel="0" collapsed="false">
      <c r="A36" s="13"/>
      <c r="B36" s="5" t="s">
        <v>37</v>
      </c>
      <c r="C36" s="5"/>
      <c r="D36" s="5"/>
      <c r="E36" s="48" t="s">
        <v>38</v>
      </c>
      <c r="G36" s="44" t="n">
        <f aca="false">+Contingent!E36</f>
        <v>23515.8372290121</v>
      </c>
      <c r="H36" s="49" t="n">
        <v>0</v>
      </c>
      <c r="I36" s="47" t="n">
        <f aca="false">+G36+H36</f>
        <v>23515.8372290121</v>
      </c>
    </row>
    <row r="37" customFormat="false" ht="12.75" hidden="false" customHeight="false" outlineLevel="0" collapsed="false">
      <c r="A37" s="13"/>
      <c r="B37" s="5"/>
      <c r="C37" s="5"/>
      <c r="D37" s="5"/>
      <c r="E37" s="5"/>
      <c r="G37" s="5"/>
      <c r="H37" s="5"/>
      <c r="I37" s="40"/>
    </row>
    <row r="38" customFormat="false" ht="12.75" hidden="false" customHeight="false" outlineLevel="0" collapsed="false">
      <c r="A38" s="50" t="s">
        <v>39</v>
      </c>
      <c r="B38" s="16"/>
      <c r="C38" s="16"/>
      <c r="D38" s="16"/>
      <c r="E38" s="16"/>
      <c r="F38" s="16"/>
      <c r="G38" s="51" t="n">
        <f aca="false">+G33+G36</f>
        <v>206471.978792093</v>
      </c>
      <c r="H38" s="51" t="n">
        <f aca="false">+H33+H36</f>
        <v>159763.06523637</v>
      </c>
      <c r="I38" s="52" t="n">
        <f aca="false">+I33+I36</f>
        <v>366235.044028463</v>
      </c>
    </row>
    <row r="39" customFormat="false" ht="12.75" hidden="false" customHeight="false" outlineLevel="0" collapsed="false">
      <c r="A39" s="5"/>
      <c r="B39" s="5"/>
      <c r="C39" s="5"/>
      <c r="D39" s="5"/>
      <c r="E39" s="5"/>
      <c r="G39" s="5"/>
      <c r="H39" s="5"/>
      <c r="I39" s="5"/>
    </row>
    <row r="40" customFormat="false" ht="12.75" hidden="false" customHeight="false" outlineLevel="0" collapsed="false">
      <c r="B40" s="5"/>
      <c r="C40" s="5"/>
      <c r="D40" s="5"/>
      <c r="E40" s="5"/>
      <c r="G40" s="5"/>
      <c r="H40" s="5"/>
      <c r="I40" s="5"/>
    </row>
    <row r="41" customFormat="false" ht="12.75" hidden="false" customHeight="false" outlineLevel="0" collapsed="false">
      <c r="A41" s="6" t="s">
        <v>40</v>
      </c>
      <c r="B41" s="5"/>
      <c r="C41" s="5"/>
      <c r="D41" s="5"/>
      <c r="E41" s="5"/>
      <c r="G41" s="5"/>
      <c r="H41" s="5"/>
      <c r="I41" s="5"/>
    </row>
    <row r="42" customFormat="false" ht="12.75" hidden="false" customHeight="false" outlineLevel="0" collapsed="false">
      <c r="A42" s="7"/>
      <c r="B42" s="8"/>
      <c r="C42" s="8"/>
      <c r="D42" s="8"/>
      <c r="E42" s="8"/>
      <c r="F42" s="8"/>
      <c r="G42" s="37" t="s">
        <v>23</v>
      </c>
      <c r="H42" s="37" t="s">
        <v>24</v>
      </c>
      <c r="I42" s="38" t="s">
        <v>25</v>
      </c>
    </row>
    <row r="43" customFormat="false" ht="12.75" hidden="false" customHeight="false" outlineLevel="0" collapsed="false">
      <c r="A43" s="13" t="s">
        <v>41</v>
      </c>
      <c r="B43" s="5"/>
      <c r="C43" s="5"/>
      <c r="D43" s="5"/>
      <c r="E43" s="5"/>
      <c r="G43" s="21" t="n">
        <f aca="false">+G38*0.5</f>
        <v>103235.989396047</v>
      </c>
      <c r="H43" s="21" t="n">
        <f aca="false">+H38</f>
        <v>159763.06523637</v>
      </c>
      <c r="I43" s="28" t="n">
        <f aca="false">+G43+H43</f>
        <v>262999.054632416</v>
      </c>
    </row>
    <row r="44" customFormat="false" ht="12.75" hidden="false" customHeight="false" outlineLevel="0" collapsed="false">
      <c r="A44" s="13"/>
      <c r="B44" s="5"/>
      <c r="C44" s="5"/>
      <c r="D44" s="5"/>
      <c r="E44" s="5"/>
      <c r="G44" s="5"/>
      <c r="H44" s="5"/>
      <c r="I44" s="40"/>
    </row>
    <row r="45" customFormat="false" ht="12.75" hidden="false" customHeight="false" outlineLevel="0" collapsed="false">
      <c r="A45" s="13" t="s">
        <v>42</v>
      </c>
      <c r="B45" s="5"/>
      <c r="C45" s="5"/>
      <c r="D45" s="5"/>
      <c r="E45" s="5"/>
      <c r="G45" s="21" t="n">
        <f aca="false">-G12*0.5</f>
        <v>-101106</v>
      </c>
      <c r="H45" s="21" t="n">
        <f aca="false">-G13</f>
        <v>-157900</v>
      </c>
      <c r="I45" s="28" t="n">
        <f aca="false">+G45+H45</f>
        <v>-259006</v>
      </c>
    </row>
    <row r="46" customFormat="false" ht="12.75" hidden="false" customHeight="false" outlineLevel="0" collapsed="false">
      <c r="A46" s="13" t="s">
        <v>43</v>
      </c>
      <c r="B46" s="5"/>
      <c r="C46" s="5"/>
      <c r="D46" s="5"/>
      <c r="E46" s="5"/>
      <c r="G46" s="21" t="n">
        <f aca="false">-G29</f>
        <v>940.954543013692</v>
      </c>
      <c r="H46" s="21" t="n">
        <v>0</v>
      </c>
      <c r="I46" s="28" t="n">
        <f aca="false">+G46+H46</f>
        <v>940.954543013692</v>
      </c>
    </row>
    <row r="47" customFormat="false" ht="15" hidden="false" customHeight="false" outlineLevel="0" collapsed="false">
      <c r="A47" s="13" t="s">
        <v>44</v>
      </c>
      <c r="B47" s="5"/>
      <c r="C47" s="5"/>
      <c r="D47" s="5"/>
      <c r="E47" s="5"/>
      <c r="G47" s="44" t="n">
        <f aca="false">-G30</f>
        <v>3000</v>
      </c>
      <c r="H47" s="44" t="n">
        <v>0</v>
      </c>
      <c r="I47" s="47" t="n">
        <f aca="false">+G47+H47</f>
        <v>3000</v>
      </c>
    </row>
    <row r="48" customFormat="false" ht="12.75" hidden="false" customHeight="false" outlineLevel="0" collapsed="false">
      <c r="A48" s="13"/>
      <c r="B48" s="5"/>
      <c r="C48" s="5"/>
      <c r="D48" s="5"/>
      <c r="E48" s="5"/>
      <c r="G48" s="5"/>
      <c r="H48" s="5"/>
      <c r="I48" s="40"/>
    </row>
    <row r="49" customFormat="false" ht="12.75" hidden="false" customHeight="false" outlineLevel="0" collapsed="false">
      <c r="A49" s="15" t="s">
        <v>45</v>
      </c>
      <c r="B49" s="16"/>
      <c r="C49" s="16"/>
      <c r="D49" s="16"/>
      <c r="E49" s="16"/>
      <c r="F49" s="16"/>
      <c r="G49" s="51" t="n">
        <f aca="false">SUM(G43:G47)</f>
        <v>6070.94393906022</v>
      </c>
      <c r="H49" s="51" t="n">
        <f aca="false">SUM(H43:H47)</f>
        <v>1863.06523636988</v>
      </c>
      <c r="I49" s="52" t="n">
        <f aca="false">SUM(I43:I47)</f>
        <v>7934.0091754301</v>
      </c>
    </row>
    <row r="50" customFormat="false" ht="12.75" hidden="false" customHeight="false" outlineLevel="0" collapsed="false">
      <c r="A50" s="5"/>
      <c r="B50" s="5"/>
      <c r="C50" s="5"/>
      <c r="D50" s="5"/>
      <c r="E50" s="5"/>
      <c r="F50" s="21"/>
      <c r="G50" s="21"/>
      <c r="H50" s="21"/>
    </row>
    <row r="52" customFormat="false" ht="12.75" hidden="false" customHeight="false" outlineLevel="0" collapsed="false">
      <c r="A52" s="5" t="s">
        <v>46</v>
      </c>
      <c r="B52" s="5"/>
      <c r="C52" s="5"/>
      <c r="D52" s="5"/>
      <c r="E52" s="5"/>
      <c r="F52" s="5"/>
      <c r="G52" s="5"/>
    </row>
    <row r="53" customFormat="false" ht="12.75" hidden="false" customHeight="false" outlineLevel="0" collapsed="false">
      <c r="A53" s="0" t="s">
        <v>47</v>
      </c>
      <c r="B53" s="5"/>
      <c r="C53" s="5"/>
      <c r="D53" s="5"/>
      <c r="E53" s="5"/>
      <c r="F53" s="21"/>
      <c r="G53" s="5"/>
    </row>
    <row r="54" customFormat="false" ht="12.75" hidden="false" customHeight="false" outlineLevel="0" collapsed="false">
      <c r="A54" s="5" t="s">
        <v>48</v>
      </c>
      <c r="B54" s="5"/>
      <c r="C54" s="5"/>
      <c r="D54" s="5"/>
      <c r="E54" s="5"/>
      <c r="F54" s="21"/>
      <c r="G54" s="5"/>
    </row>
    <row r="55" customFormat="false" ht="15" hidden="false" customHeight="false" outlineLevel="0" collapsed="false">
      <c r="A55" s="5"/>
      <c r="B55" s="5"/>
      <c r="C55" s="5"/>
      <c r="D55" s="5"/>
      <c r="E55" s="5"/>
      <c r="F55" s="44"/>
      <c r="G55" s="5"/>
    </row>
    <row r="56" customFormat="false" ht="12.75" hidden="false" customHeight="false" outlineLevel="0" collapsed="false">
      <c r="A56" s="5"/>
      <c r="B56" s="5"/>
      <c r="C56" s="5"/>
      <c r="D56" s="5"/>
      <c r="E56" s="5"/>
      <c r="F56" s="5"/>
      <c r="G56" s="5"/>
    </row>
    <row r="57" customFormat="false" ht="12.75" hidden="false" customHeight="false" outlineLevel="0" collapsed="false">
      <c r="A57" s="5"/>
      <c r="B57" s="5"/>
      <c r="C57" s="5"/>
      <c r="D57" s="5"/>
      <c r="E57" s="5"/>
      <c r="F57" s="21"/>
      <c r="G57" s="5"/>
    </row>
    <row r="58" customFormat="false" ht="12.75" hidden="false" customHeight="false" outlineLevel="0" collapsed="false">
      <c r="A58" s="5"/>
      <c r="B58" s="5"/>
      <c r="C58" s="5"/>
      <c r="D58" s="5"/>
      <c r="E58" s="5"/>
      <c r="F58" s="5"/>
      <c r="G58" s="5"/>
    </row>
    <row r="59" customFormat="false" ht="12.75" hidden="false" customHeight="false" outlineLevel="0" collapsed="false">
      <c r="A59" s="5"/>
      <c r="B59" s="5"/>
      <c r="C59" s="5"/>
      <c r="D59" s="5"/>
      <c r="E59" s="5"/>
      <c r="F59" s="53"/>
      <c r="G59" s="5"/>
    </row>
    <row r="60" customFormat="false" ht="12.75" hidden="false" customHeight="false" outlineLevel="0" collapsed="false">
      <c r="A60" s="5"/>
      <c r="B60" s="5"/>
      <c r="C60" s="5"/>
      <c r="D60" s="5"/>
      <c r="E60" s="5"/>
      <c r="F60" s="53"/>
      <c r="G60" s="5"/>
    </row>
    <row r="61" customFormat="false" ht="15" hidden="false" customHeight="false" outlineLevel="0" collapsed="false">
      <c r="A61" s="5"/>
      <c r="B61" s="5"/>
      <c r="C61" s="5"/>
      <c r="D61" s="5"/>
      <c r="E61" s="5"/>
      <c r="F61" s="44"/>
      <c r="G61" s="5"/>
    </row>
    <row r="62" customFormat="false" ht="12.75" hidden="false" customHeight="false" outlineLevel="0" collapsed="false">
      <c r="A62" s="5"/>
      <c r="B62" s="5"/>
      <c r="C62" s="5"/>
      <c r="D62" s="5"/>
      <c r="E62" s="5"/>
      <c r="F62" s="5"/>
      <c r="G62" s="5"/>
    </row>
    <row r="63" customFormat="false" ht="12.75" hidden="false" customHeight="false" outlineLevel="0" collapsed="false">
      <c r="A63" s="5"/>
      <c r="B63" s="5"/>
      <c r="C63" s="5"/>
      <c r="D63" s="5"/>
      <c r="E63" s="5"/>
      <c r="F63" s="21"/>
      <c r="G63" s="5"/>
    </row>
    <row r="64" customFormat="false" ht="12.75" hidden="false" customHeight="false" outlineLevel="0" collapsed="false">
      <c r="A64" s="5"/>
      <c r="B64" s="5"/>
      <c r="C64" s="5"/>
      <c r="D64" s="5"/>
      <c r="E64" s="5"/>
      <c r="F64" s="5"/>
      <c r="G6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:F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54" width="12.14"/>
    <col collapsed="false" customWidth="true" hidden="false" outlineLevel="0" max="3" min="3" style="0" width="12.56"/>
    <col collapsed="false" customWidth="true" hidden="false" outlineLevel="0" max="5" min="4" style="0" width="12.28"/>
    <col collapsed="false" customWidth="true" hidden="false" outlineLevel="0" max="6" min="6" style="0" width="12.56"/>
    <col collapsed="false" customWidth="true" hidden="false" outlineLevel="0" max="7" min="7" style="0" width="5.71"/>
    <col collapsed="false" customWidth="true" hidden="false" outlineLevel="0" max="9" min="8" style="0" width="12.14"/>
    <col collapsed="false" customWidth="true" hidden="false" outlineLevel="0" max="10" min="10" style="0" width="3.85"/>
    <col collapsed="false" customWidth="true" hidden="false" outlineLevel="0" max="11" min="11" style="0" width="12.56"/>
  </cols>
  <sheetData>
    <row r="2" customFormat="false" ht="12.75" hidden="false" customHeight="false" outlineLevel="0" collapsed="false">
      <c r="A2" s="6" t="s">
        <v>49</v>
      </c>
    </row>
    <row r="3" customFormat="false" ht="12.75" hidden="false" customHeight="false" outlineLevel="0" collapsed="false">
      <c r="A3" s="55" t="s">
        <v>50</v>
      </c>
      <c r="B3" s="37" t="s">
        <v>51</v>
      </c>
      <c r="C3" s="37" t="s">
        <v>52</v>
      </c>
      <c r="D3" s="37" t="s">
        <v>53</v>
      </c>
      <c r="E3" s="37" t="s">
        <v>54</v>
      </c>
      <c r="F3" s="38" t="s">
        <v>50</v>
      </c>
    </row>
    <row r="4" customFormat="false" ht="12.75" hidden="false" customHeight="false" outlineLevel="0" collapsed="false">
      <c r="A4" s="13"/>
      <c r="B4" s="48"/>
      <c r="C4" s="5"/>
      <c r="D4" s="5"/>
      <c r="E4" s="5"/>
      <c r="F4" s="40"/>
    </row>
    <row r="5" customFormat="false" ht="12.75" hidden="false" customHeight="false" outlineLevel="0" collapsed="false">
      <c r="A5" s="56" t="n">
        <v>1</v>
      </c>
      <c r="B5" s="57" t="n">
        <v>37026</v>
      </c>
      <c r="C5" s="58" t="n">
        <f aca="false">+D5/$D$34</f>
        <v>0.00694577856518051</v>
      </c>
      <c r="D5" s="59" t="n">
        <v>2414352.62925679</v>
      </c>
      <c r="E5" s="59" t="n">
        <f aca="false">+F5-D5</f>
        <v>11860856.2366378</v>
      </c>
      <c r="F5" s="42" t="n">
        <v>14275208.8658946</v>
      </c>
    </row>
    <row r="6" customFormat="false" ht="12.75" hidden="false" customHeight="false" outlineLevel="0" collapsed="false">
      <c r="A6" s="56" t="n">
        <f aca="false">+A5+1</f>
        <v>2</v>
      </c>
      <c r="B6" s="57" t="n">
        <v>37118</v>
      </c>
      <c r="C6" s="58" t="n">
        <f aca="false">+D6/$D$34</f>
        <v>0.0209360200650624</v>
      </c>
      <c r="D6" s="59" t="n">
        <v>7277360.57461583</v>
      </c>
      <c r="E6" s="59" t="n">
        <f aca="false">+F6-D6</f>
        <v>7176288.40210247</v>
      </c>
      <c r="F6" s="42" t="n">
        <v>14453648.9767183</v>
      </c>
    </row>
    <row r="7" customFormat="false" ht="12.75" hidden="false" customHeight="false" outlineLevel="0" collapsed="false">
      <c r="A7" s="56" t="n">
        <f aca="false">+A6+1</f>
        <v>3</v>
      </c>
      <c r="B7" s="57" t="n">
        <v>37210</v>
      </c>
      <c r="C7" s="58" t="n">
        <f aca="false">+D7/$D$34</f>
        <v>0.0218910384287558</v>
      </c>
      <c r="D7" s="59" t="n">
        <v>7609324.95783564</v>
      </c>
      <c r="E7" s="59" t="n">
        <f aca="false">+F7-D7</f>
        <v>7024994.63109164</v>
      </c>
      <c r="F7" s="42" t="n">
        <v>14634319.5889273</v>
      </c>
    </row>
    <row r="8" customFormat="false" ht="12.75" hidden="false" customHeight="false" outlineLevel="0" collapsed="false">
      <c r="A8" s="56" t="n">
        <f aca="false">+A7+1</f>
        <v>4</v>
      </c>
      <c r="B8" s="57" t="n">
        <v>37302</v>
      </c>
      <c r="C8" s="58" t="n">
        <f aca="false">+D8/$D$34</f>
        <v>0.0228724083621138</v>
      </c>
      <c r="D8" s="59" t="n">
        <v>7950449.14667091</v>
      </c>
      <c r="E8" s="59" t="n">
        <f aca="false">+F8-D8</f>
        <v>6866799.43711796</v>
      </c>
      <c r="F8" s="42" t="n">
        <v>14817248.5837889</v>
      </c>
    </row>
    <row r="9" customFormat="false" ht="12.75" hidden="false" customHeight="false" outlineLevel="0" collapsed="false">
      <c r="A9" s="56" t="n">
        <f aca="false">+A8+1</f>
        <v>5</v>
      </c>
      <c r="B9" s="57" t="n">
        <v>37391</v>
      </c>
      <c r="C9" s="58" t="n">
        <f aca="false">+D9/$D$34</f>
        <v>0.0245094343441189</v>
      </c>
      <c r="D9" s="59" t="n">
        <v>8519479.37801588</v>
      </c>
      <c r="E9" s="59" t="n">
        <f aca="false">+F9-D9</f>
        <v>6482984.81307035</v>
      </c>
      <c r="F9" s="42" t="n">
        <v>15002464.1910862</v>
      </c>
    </row>
    <row r="10" customFormat="false" ht="12.75" hidden="false" customHeight="false" outlineLevel="0" collapsed="false">
      <c r="A10" s="56" t="n">
        <f aca="false">+A9+1</f>
        <v>6</v>
      </c>
      <c r="B10" s="57" t="n">
        <v>37483</v>
      </c>
      <c r="C10" s="58" t="n">
        <f aca="false">+D10/$D$34</f>
        <v>0.0249298031853218</v>
      </c>
      <c r="D10" s="59" t="n">
        <v>8665599.58721802</v>
      </c>
      <c r="E10" s="59" t="n">
        <f aca="false">+F10-D10</f>
        <v>6524395.40625679</v>
      </c>
      <c r="F10" s="42" t="n">
        <v>15189994.9934748</v>
      </c>
    </row>
    <row r="11" customFormat="false" ht="12.75" hidden="false" customHeight="false" outlineLevel="0" collapsed="false">
      <c r="A11" s="56" t="n">
        <f aca="false">+A10+1</f>
        <v>7</v>
      </c>
      <c r="B11" s="57" t="n">
        <v>37575</v>
      </c>
      <c r="C11" s="58" t="n">
        <f aca="false">+D11/$D$34</f>
        <v>0.0259943305444762</v>
      </c>
      <c r="D11" s="59" t="n">
        <v>9035629.29726009</v>
      </c>
      <c r="E11" s="59" t="n">
        <f aca="false">+F11-D11</f>
        <v>6344240.63363316</v>
      </c>
      <c r="F11" s="42" t="n">
        <v>15379869.9308932</v>
      </c>
    </row>
    <row r="12" customFormat="false" ht="12.75" hidden="false" customHeight="false" outlineLevel="0" collapsed="false">
      <c r="A12" s="56" t="n">
        <f aca="false">+A11+1</f>
        <v>8</v>
      </c>
      <c r="B12" s="57" t="n">
        <v>37667</v>
      </c>
      <c r="C12" s="58" t="n">
        <f aca="false">+D12/$D$34</f>
        <v>0.0270878171224429</v>
      </c>
      <c r="D12" s="59" t="n">
        <v>9415725.2317613</v>
      </c>
      <c r="E12" s="59" t="n">
        <f aca="false">+F12-D12</f>
        <v>6156393.0732681</v>
      </c>
      <c r="F12" s="42" t="n">
        <v>15572118.3050294</v>
      </c>
    </row>
    <row r="13" customFormat="false" ht="12.75" hidden="false" customHeight="false" outlineLevel="0" collapsed="false">
      <c r="A13" s="56" t="n">
        <f aca="false">+A12+1</f>
        <v>9</v>
      </c>
      <c r="B13" s="57" t="n">
        <v>37756</v>
      </c>
      <c r="C13" s="58" t="n">
        <f aca="false">+D13/$D$34</f>
        <v>0.0287701241086483</v>
      </c>
      <c r="D13" s="59" t="n">
        <v>10000495.1401663</v>
      </c>
      <c r="E13" s="59" t="n">
        <f aca="false">+F13-D13</f>
        <v>5766274.64367593</v>
      </c>
      <c r="F13" s="42" t="n">
        <v>15766769.7838423</v>
      </c>
    </row>
    <row r="14" customFormat="false" ht="12.75" hidden="false" customHeight="false" outlineLevel="0" collapsed="false">
      <c r="A14" s="56" t="n">
        <f aca="false">+A13+1</f>
        <v>10</v>
      </c>
      <c r="B14" s="57" t="n">
        <v>37848</v>
      </c>
      <c r="C14" s="58" t="n">
        <f aca="false">+D14/$D$34</f>
        <v>0.0293760579306426</v>
      </c>
      <c r="D14" s="59" t="n">
        <v>10211117.7366916</v>
      </c>
      <c r="E14" s="59" t="n">
        <f aca="false">+F14-D14</f>
        <v>5752736.66944875</v>
      </c>
      <c r="F14" s="42" t="n">
        <v>15963854.4061403</v>
      </c>
    </row>
    <row r="15" customFormat="false" ht="12.75" hidden="false" customHeight="false" outlineLevel="0" collapsed="false">
      <c r="A15" s="56" t="n">
        <f aca="false">+A14+1</f>
        <v>11</v>
      </c>
      <c r="B15" s="57" t="n">
        <v>37940</v>
      </c>
      <c r="C15" s="58" t="n">
        <f aca="false">+D15/$D$34</f>
        <v>0.0305608500259894</v>
      </c>
      <c r="D15" s="59" t="n">
        <v>10622951.4690341</v>
      </c>
      <c r="E15" s="59" t="n">
        <f aca="false">+F15-D15</f>
        <v>5540451.11718296</v>
      </c>
      <c r="F15" s="42" t="n">
        <v>16163402.5862171</v>
      </c>
    </row>
    <row r="16" customFormat="false" ht="12.75" hidden="false" customHeight="false" outlineLevel="0" collapsed="false">
      <c r="A16" s="56" t="n">
        <f aca="false">+A15+1</f>
        <v>12</v>
      </c>
      <c r="B16" s="57" t="n">
        <v>38032</v>
      </c>
      <c r="C16" s="58" t="n">
        <f aca="false">+D16/$D$34</f>
        <v>0.0317774494600506</v>
      </c>
      <c r="D16" s="59" t="n">
        <v>11045841.4323138</v>
      </c>
      <c r="E16" s="59" t="n">
        <f aca="false">+F16-D16</f>
        <v>5319603.68623097</v>
      </c>
      <c r="F16" s="42" t="n">
        <v>16365445.1185448</v>
      </c>
    </row>
    <row r="17" customFormat="false" ht="12.75" hidden="false" customHeight="false" outlineLevel="0" collapsed="false">
      <c r="A17" s="56" t="n">
        <f aca="false">+A16+1</f>
        <v>13</v>
      </c>
      <c r="B17" s="57" t="n">
        <v>38122</v>
      </c>
      <c r="C17" s="58" t="n">
        <f aca="false">+D17/$D$34</f>
        <v>0.0333449368922106</v>
      </c>
      <c r="D17" s="59" t="n">
        <v>11590700.0637326</v>
      </c>
      <c r="E17" s="59" t="n">
        <f aca="false">+F17-D17</f>
        <v>4979313.11879397</v>
      </c>
      <c r="F17" s="42" t="n">
        <v>16570013.1825266</v>
      </c>
    </row>
    <row r="18" customFormat="false" ht="12.75" hidden="false" customHeight="false" outlineLevel="0" collapsed="false">
      <c r="A18" s="56" t="n">
        <f aca="false">+A17+1</f>
        <v>14</v>
      </c>
      <c r="B18" s="57" t="n">
        <v>38214</v>
      </c>
      <c r="C18" s="58" t="n">
        <f aca="false">+D18/$D$34</f>
        <v>0.03431570889039</v>
      </c>
      <c r="D18" s="59" t="n">
        <v>11928140.4102998</v>
      </c>
      <c r="E18" s="59" t="n">
        <f aca="false">+F18-D18</f>
        <v>4848997.93700839</v>
      </c>
      <c r="F18" s="42" t="n">
        <v>16777138.3473082</v>
      </c>
    </row>
    <row r="19" customFormat="false" ht="12.75" hidden="false" customHeight="false" outlineLevel="0" collapsed="false">
      <c r="A19" s="56" t="n">
        <f aca="false">+A18+1</f>
        <v>15</v>
      </c>
      <c r="B19" s="57" t="n">
        <v>38306</v>
      </c>
      <c r="C19" s="58" t="n">
        <f aca="false">+D19/$D$34</f>
        <v>0.0356324408526593</v>
      </c>
      <c r="D19" s="59" t="n">
        <v>12385836.4403846</v>
      </c>
      <c r="E19" s="59" t="n">
        <f aca="false">+F19-D19</f>
        <v>4601016.08626491</v>
      </c>
      <c r="F19" s="42" t="n">
        <v>16986852.5266495</v>
      </c>
    </row>
    <row r="20" customFormat="false" ht="12.75" hidden="false" customHeight="false" outlineLevel="0" collapsed="false">
      <c r="A20" s="56" t="n">
        <f aca="false">+A19+1</f>
        <v>16</v>
      </c>
      <c r="B20" s="57" t="n">
        <v>38398</v>
      </c>
      <c r="C20" s="58" t="n">
        <f aca="false">+D20/$D$34</f>
        <v>0.0369840888592157</v>
      </c>
      <c r="D20" s="59" t="n">
        <v>12855669.2874636</v>
      </c>
      <c r="E20" s="59" t="n">
        <f aca="false">+F20-D20</f>
        <v>4343518.89576902</v>
      </c>
      <c r="F20" s="42" t="n">
        <v>17199188.1832326</v>
      </c>
    </row>
    <row r="21" customFormat="false" ht="12.75" hidden="false" customHeight="false" outlineLevel="0" collapsed="false">
      <c r="A21" s="56" t="n">
        <f aca="false">+A20+1</f>
        <v>17</v>
      </c>
      <c r="B21" s="57" t="n">
        <v>38487</v>
      </c>
      <c r="C21" s="58" t="n">
        <f aca="false">+D21/$D$34</f>
        <v>0.0387538703041764</v>
      </c>
      <c r="D21" s="59" t="n">
        <v>13470845.3177319</v>
      </c>
      <c r="E21" s="59" t="n">
        <f aca="false">+F21-D21</f>
        <v>3943332.71779109</v>
      </c>
      <c r="F21" s="42" t="n">
        <v>17414178.035523</v>
      </c>
    </row>
    <row r="22" customFormat="false" ht="12.75" hidden="false" customHeight="false" outlineLevel="0" collapsed="false">
      <c r="A22" s="56" t="n">
        <f aca="false">+A21+1</f>
        <v>18</v>
      </c>
      <c r="B22" s="57" t="n">
        <v>38579</v>
      </c>
      <c r="C22" s="58" t="n">
        <f aca="false">+D22/$D$34</f>
        <v>0.0398033813569654</v>
      </c>
      <c r="D22" s="59" t="n">
        <v>13835655.3596814</v>
      </c>
      <c r="E22" s="59" t="n">
        <f aca="false">+F22-D22</f>
        <v>3796199.90128565</v>
      </c>
      <c r="F22" s="42" t="n">
        <v>17631855.2609671</v>
      </c>
    </row>
    <row r="23" customFormat="false" ht="12.75" hidden="false" customHeight="false" outlineLevel="0" collapsed="false">
      <c r="A23" s="56" t="n">
        <f aca="false">+A22+1</f>
        <v>19</v>
      </c>
      <c r="B23" s="57" t="n">
        <v>38671</v>
      </c>
      <c r="C23" s="58" t="n">
        <f aca="false">+D23/$D$34</f>
        <v>0.0412649366144686</v>
      </c>
      <c r="D23" s="59" t="n">
        <v>14343691.9671895</v>
      </c>
      <c r="E23" s="59" t="n">
        <f aca="false">+F23-D23</f>
        <v>3508561.48453963</v>
      </c>
      <c r="F23" s="42" t="n">
        <v>17852253.4517292</v>
      </c>
    </row>
    <row r="24" customFormat="false" ht="12.75" hidden="false" customHeight="false" outlineLevel="0" collapsed="false">
      <c r="A24" s="56" t="n">
        <f aca="false">+A23+1</f>
        <v>20</v>
      </c>
      <c r="B24" s="57" t="n">
        <v>38763</v>
      </c>
      <c r="C24" s="58" t="n">
        <f aca="false">+D24/$D$34</f>
        <v>0.0427648028042652</v>
      </c>
      <c r="D24" s="59" t="n">
        <v>14865045.4547629</v>
      </c>
      <c r="E24" s="59" t="n">
        <f aca="false">+F24-D24</f>
        <v>3210361.16511292</v>
      </c>
      <c r="F24" s="42" t="n">
        <v>18075406.6198758</v>
      </c>
    </row>
    <row r="25" customFormat="false" ht="12.75" hidden="false" customHeight="false" outlineLevel="0" collapsed="false">
      <c r="A25" s="56" t="n">
        <f aca="false">+A24+1</f>
        <v>21</v>
      </c>
      <c r="B25" s="57" t="n">
        <v>38852</v>
      </c>
      <c r="C25" s="58" t="n">
        <f aca="false">+D25/$D$34</f>
        <v>0.0445760513288044</v>
      </c>
      <c r="D25" s="59" t="n">
        <v>15494635.4418927</v>
      </c>
      <c r="E25" s="59" t="n">
        <f aca="false">+F25-D25</f>
        <v>2806713.76073155</v>
      </c>
      <c r="F25" s="42" t="n">
        <v>18301349.2026242</v>
      </c>
    </row>
    <row r="26" customFormat="false" ht="12.75" hidden="false" customHeight="false" outlineLevel="0" collapsed="false">
      <c r="A26" s="56" t="n">
        <f aca="false">+A25+1</f>
        <v>22</v>
      </c>
      <c r="B26" s="57" t="n">
        <v>38944</v>
      </c>
      <c r="C26" s="58" t="n">
        <f aca="false">+D26/$D$34</f>
        <v>0.0458887284466085</v>
      </c>
      <c r="D26" s="59" t="n">
        <v>15950922.0080414</v>
      </c>
      <c r="E26" s="59" t="n">
        <f aca="false">+F26-D26</f>
        <v>2579194.05961563</v>
      </c>
      <c r="F26" s="42" t="n">
        <v>18530116.067657</v>
      </c>
    </row>
    <row r="27" customFormat="false" ht="12.75" hidden="false" customHeight="false" outlineLevel="0" collapsed="false">
      <c r="A27" s="56" t="n">
        <f aca="false">+A26+1</f>
        <v>23</v>
      </c>
      <c r="B27" s="57" t="n">
        <v>39036</v>
      </c>
      <c r="C27" s="58" t="n">
        <f aca="false">+D27/$D$34</f>
        <v>0.0475090981775266</v>
      </c>
      <c r="D27" s="59" t="n">
        <v>16514162.5265085</v>
      </c>
      <c r="E27" s="59" t="n">
        <f aca="false">+F27-D27</f>
        <v>2247579.99199419</v>
      </c>
      <c r="F27" s="42" t="n">
        <v>18761742.5185027</v>
      </c>
    </row>
    <row r="28" customFormat="false" ht="12.75" hidden="false" customHeight="false" outlineLevel="0" collapsed="false">
      <c r="A28" s="56" t="n">
        <f aca="false">+A27+1</f>
        <v>24</v>
      </c>
      <c r="B28" s="57" t="n">
        <v>39128</v>
      </c>
      <c r="C28" s="58" t="n">
        <f aca="false">+D28/$D$34</f>
        <v>0.0491714843159277</v>
      </c>
      <c r="D28" s="59" t="n">
        <v>17092007.9482168</v>
      </c>
      <c r="E28" s="59" t="n">
        <f aca="false">+F28-D28</f>
        <v>1904256.35176725</v>
      </c>
      <c r="F28" s="42" t="n">
        <v>18996264.299984</v>
      </c>
    </row>
    <row r="29" customFormat="false" ht="12.75" hidden="false" customHeight="false" outlineLevel="0" collapsed="false">
      <c r="A29" s="56" t="n">
        <f aca="false">+A28+1</f>
        <v>25</v>
      </c>
      <c r="B29" s="57" t="n">
        <v>39217</v>
      </c>
      <c r="C29" s="58" t="n">
        <f aca="false">+D29/$D$34</f>
        <v>0.0510221701393526</v>
      </c>
      <c r="D29" s="59" t="n">
        <v>17735306.3404393</v>
      </c>
      <c r="E29" s="59" t="n">
        <f aca="false">+F29-D29</f>
        <v>1498411.26329454</v>
      </c>
      <c r="F29" s="42" t="n">
        <v>19233717.6037338</v>
      </c>
    </row>
    <row r="30" customFormat="false" ht="12.75" hidden="false" customHeight="false" outlineLevel="0" collapsed="false">
      <c r="A30" s="56" t="n">
        <f aca="false">+A29+1</f>
        <v>26</v>
      </c>
      <c r="B30" s="57" t="n">
        <v>39309</v>
      </c>
      <c r="C30" s="58" t="n">
        <f aca="false">+D30/$D$34</f>
        <v>0.0526292587945564</v>
      </c>
      <c r="D30" s="59" t="n">
        <v>18293930.3569881</v>
      </c>
      <c r="E30" s="59" t="n">
        <f aca="false">+F30-D30</f>
        <v>1180208.71679236</v>
      </c>
      <c r="F30" s="42" t="n">
        <v>19474139.0737805</v>
      </c>
    </row>
    <row r="31" customFormat="false" ht="12.75" hidden="false" customHeight="false" outlineLevel="0" collapsed="false">
      <c r="A31" s="56" t="n">
        <f aca="false">+A30+1</f>
        <v>27</v>
      </c>
      <c r="B31" s="57" t="n">
        <v>39401</v>
      </c>
      <c r="C31" s="58" t="n">
        <f aca="false">+D31/$D$34</f>
        <v>0.0544237096774857</v>
      </c>
      <c r="D31" s="59" t="n">
        <v>18917681.4838944</v>
      </c>
      <c r="E31" s="59" t="n">
        <f aca="false">+F31-D31</f>
        <v>799884.328308385</v>
      </c>
      <c r="F31" s="42" t="n">
        <v>19717565.8122027</v>
      </c>
    </row>
    <row r="32" customFormat="false" ht="12.75" hidden="false" customHeight="false" outlineLevel="0" collapsed="false">
      <c r="A32" s="56" t="n">
        <f aca="false">+A31+1</f>
        <v>28</v>
      </c>
      <c r="B32" s="57" t="n">
        <v>39493</v>
      </c>
      <c r="C32" s="58" t="n">
        <f aca="false">+D32/$D$34</f>
        <v>0.0562642204025837</v>
      </c>
      <c r="D32" s="59" t="n">
        <v>19557443.0119385</v>
      </c>
      <c r="E32" s="59" t="n">
        <f aca="false">+F32-D32</f>
        <v>406592.372916825</v>
      </c>
      <c r="F32" s="42" t="n">
        <v>19964035.3848553</v>
      </c>
    </row>
    <row r="33" customFormat="false" ht="12.75" hidden="false" customHeight="false" outlineLevel="0" collapsed="false">
      <c r="A33" s="56"/>
      <c r="B33" s="48"/>
      <c r="C33" s="5"/>
      <c r="D33" s="5"/>
      <c r="E33" s="5"/>
      <c r="F33" s="40"/>
    </row>
    <row r="34" customFormat="false" ht="12.75" hidden="false" customHeight="false" outlineLevel="0" collapsed="false">
      <c r="A34" s="60" t="s">
        <v>55</v>
      </c>
      <c r="B34" s="61"/>
      <c r="C34" s="62" t="n">
        <f aca="false">SUM(C5:C32)</f>
        <v>1</v>
      </c>
      <c r="D34" s="51" t="n">
        <f aca="false">SUM(D5:D32)</f>
        <v>347600000.000006</v>
      </c>
      <c r="E34" s="51" t="n">
        <f aca="false">SUM(E5:E32)</f>
        <v>127470160.901703</v>
      </c>
      <c r="F34" s="52" t="n">
        <f aca="false">SUM(F5:F32)</f>
        <v>475070160.901709</v>
      </c>
    </row>
    <row r="37" customFormat="false" ht="12.75" hidden="false" customHeight="false" outlineLevel="0" collapsed="false">
      <c r="B37" s="6" t="s">
        <v>36</v>
      </c>
      <c r="C37" s="54"/>
    </row>
    <row r="38" customFormat="false" ht="12.75" hidden="false" customHeight="false" outlineLevel="0" collapsed="false">
      <c r="B38" s="63" t="s">
        <v>56</v>
      </c>
      <c r="C38" s="64"/>
      <c r="D38" s="65"/>
      <c r="E38" s="5"/>
    </row>
    <row r="39" customFormat="false" ht="12.75" hidden="false" customHeight="false" outlineLevel="0" collapsed="false">
      <c r="B39" s="66" t="s">
        <v>57</v>
      </c>
      <c r="C39" s="67" t="s">
        <v>58</v>
      </c>
      <c r="D39" s="40"/>
      <c r="E39" s="5"/>
    </row>
    <row r="40" customFormat="false" ht="12.75" hidden="false" customHeight="false" outlineLevel="0" collapsed="false">
      <c r="B40" s="68" t="s">
        <v>59</v>
      </c>
      <c r="C40" s="57" t="n">
        <v>37256</v>
      </c>
      <c r="D40" s="42" t="n">
        <v>26103000</v>
      </c>
      <c r="E40" s="59"/>
    </row>
    <row r="41" customFormat="false" ht="12.75" hidden="false" customHeight="false" outlineLevel="0" collapsed="false">
      <c r="B41" s="68" t="n">
        <f aca="false">+C40</f>
        <v>37256</v>
      </c>
      <c r="C41" s="57" t="n">
        <v>37621</v>
      </c>
      <c r="D41" s="42" t="n">
        <v>29235360</v>
      </c>
      <c r="E41" s="59"/>
    </row>
    <row r="42" customFormat="false" ht="12.75" hidden="false" customHeight="false" outlineLevel="0" collapsed="false">
      <c r="B42" s="68" t="n">
        <f aca="false">+C41</f>
        <v>37621</v>
      </c>
      <c r="C42" s="57" t="n">
        <v>37986</v>
      </c>
      <c r="D42" s="42" t="n">
        <v>32743603.2</v>
      </c>
      <c r="E42" s="59"/>
    </row>
    <row r="43" customFormat="false" ht="12.75" hidden="false" customHeight="false" outlineLevel="0" collapsed="false">
      <c r="B43" s="60" t="s">
        <v>60</v>
      </c>
      <c r="C43" s="60"/>
      <c r="D43" s="19" t="n">
        <v>36672835.584</v>
      </c>
      <c r="E43" s="59"/>
    </row>
  </sheetData>
  <mergeCells count="1">
    <mergeCell ref="B43:C43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&amp;R11-02-00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A64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4.85"/>
    <col collapsed="false" customWidth="true" hidden="false" outlineLevel="0" max="3" min="3" style="0" width="11.13"/>
    <col collapsed="false" customWidth="true" hidden="false" outlineLevel="0" max="4" min="4" style="0" width="11.99"/>
    <col collapsed="false" customWidth="true" hidden="false" outlineLevel="0" max="5" min="5" style="0" width="11.28"/>
    <col collapsed="false" customWidth="true" hidden="false" outlineLevel="0" max="6" min="6" style="0" width="10.13"/>
    <col collapsed="false" customWidth="true" hidden="false" outlineLevel="0" max="7" min="7" style="0" width="10.85"/>
    <col collapsed="false" customWidth="true" hidden="false" outlineLevel="0" max="8" min="8" style="0" width="10.99"/>
    <col collapsed="false" customWidth="true" hidden="false" outlineLevel="0" max="9" min="9" style="0" width="10.13"/>
    <col collapsed="false" customWidth="true" hidden="false" outlineLevel="0" max="10" min="10" style="0" width="10.28"/>
    <col collapsed="false" customWidth="true" hidden="false" outlineLevel="0" max="18" min="11" style="0" width="10.13"/>
    <col collapsed="false" customWidth="true" hidden="false" outlineLevel="0" max="48" min="48" style="0" width="10.56"/>
    <col collapsed="false" customWidth="true" hidden="false" outlineLevel="0" max="52" min="52" style="0" width="9.85"/>
    <col collapsed="false" customWidth="true" hidden="false" outlineLevel="0" max="53" min="53" style="0" width="9.99"/>
  </cols>
  <sheetData>
    <row r="1" customFormat="false" ht="30" hidden="false" customHeight="false" outlineLevel="0" collapsed="false">
      <c r="A1" s="1" t="s">
        <v>0</v>
      </c>
      <c r="R1" s="69" t="n">
        <f aca="true">TODAY()</f>
        <v>45926</v>
      </c>
    </row>
    <row r="4" customFormat="false" ht="12.75" hidden="false" customHeight="false" outlineLevel="0" collapsed="false">
      <c r="A4" s="6" t="s">
        <v>61</v>
      </c>
    </row>
    <row r="6" customFormat="false" ht="12.75" hidden="false" customHeight="false" outlineLevel="0" collapsed="false">
      <c r="A6" s="0" t="s">
        <v>62</v>
      </c>
      <c r="E6" s="70" t="n">
        <v>36891</v>
      </c>
      <c r="F6" s="70" t="n">
        <v>37210</v>
      </c>
      <c r="G6" s="70" t="n">
        <v>37302</v>
      </c>
      <c r="H6" s="70" t="n">
        <v>37391</v>
      </c>
      <c r="I6" s="70" t="n">
        <v>37483</v>
      </c>
      <c r="J6" s="70" t="n">
        <v>37575</v>
      </c>
      <c r="K6" s="70" t="n">
        <v>37667</v>
      </c>
      <c r="L6" s="70" t="n">
        <v>37756</v>
      </c>
      <c r="M6" s="70" t="n">
        <v>37848</v>
      </c>
      <c r="N6" s="70" t="n">
        <v>37940</v>
      </c>
      <c r="O6" s="70" t="n">
        <v>38032</v>
      </c>
      <c r="P6" s="70" t="n">
        <v>38122</v>
      </c>
      <c r="Q6" s="70" t="n">
        <v>38214</v>
      </c>
      <c r="R6" s="70" t="n">
        <v>38306</v>
      </c>
      <c r="S6" s="70" t="n">
        <v>38398</v>
      </c>
      <c r="T6" s="70" t="n">
        <v>38487</v>
      </c>
      <c r="U6" s="70" t="n">
        <v>38579</v>
      </c>
      <c r="V6" s="70" t="n">
        <v>38671</v>
      </c>
      <c r="W6" s="70" t="n">
        <v>38763</v>
      </c>
      <c r="X6" s="70" t="n">
        <v>38852</v>
      </c>
      <c r="Y6" s="70" t="n">
        <v>38944</v>
      </c>
      <c r="Z6" s="70" t="n">
        <v>39036</v>
      </c>
      <c r="AA6" s="70" t="n">
        <v>39128</v>
      </c>
      <c r="AB6" s="70" t="n">
        <v>39217</v>
      </c>
      <c r="AC6" s="70" t="n">
        <v>39309</v>
      </c>
      <c r="AD6" s="70" t="n">
        <v>39401</v>
      </c>
      <c r="AE6" s="70" t="n">
        <v>39493</v>
      </c>
      <c r="AF6" s="70" t="n">
        <v>39583</v>
      </c>
      <c r="AG6" s="70" t="n">
        <v>39675</v>
      </c>
      <c r="AH6" s="70" t="n">
        <v>39767</v>
      </c>
      <c r="AI6" s="70" t="n">
        <v>39859</v>
      </c>
      <c r="AJ6" s="70" t="n">
        <v>39948</v>
      </c>
      <c r="AK6" s="70" t="n">
        <v>40040</v>
      </c>
      <c r="AL6" s="70" t="n">
        <v>40132</v>
      </c>
      <c r="AM6" s="70" t="n">
        <v>40224</v>
      </c>
      <c r="AN6" s="70" t="n">
        <v>40313</v>
      </c>
      <c r="AO6" s="70" t="n">
        <v>40405</v>
      </c>
      <c r="AP6" s="70" t="n">
        <v>40497</v>
      </c>
      <c r="AQ6" s="70" t="n">
        <v>40589</v>
      </c>
      <c r="AR6" s="70" t="n">
        <v>40678</v>
      </c>
      <c r="AS6" s="70" t="n">
        <v>40770</v>
      </c>
      <c r="AT6" s="70" t="n">
        <v>40862</v>
      </c>
      <c r="AU6" s="70" t="n">
        <v>40954</v>
      </c>
      <c r="AV6" s="70" t="n">
        <v>41044</v>
      </c>
      <c r="AW6" s="70" t="n">
        <v>41136</v>
      </c>
      <c r="AX6" s="70" t="n">
        <v>41228</v>
      </c>
      <c r="AY6" s="70" t="n">
        <v>41320</v>
      </c>
      <c r="AZ6" s="70" t="n">
        <v>41409</v>
      </c>
      <c r="BA6" s="70" t="n">
        <v>41501</v>
      </c>
    </row>
    <row r="8" customFormat="false" ht="12.75" hidden="false" customHeight="false" outlineLevel="0" collapsed="false">
      <c r="A8" s="0" t="s">
        <v>26</v>
      </c>
      <c r="E8" s="71" t="n">
        <v>0</v>
      </c>
      <c r="F8" s="71" t="n">
        <v>41927.1386429175</v>
      </c>
      <c r="G8" s="59" t="n">
        <f aca="false">+F8*(1+$E$10/4)</f>
        <v>42451.227875954</v>
      </c>
      <c r="H8" s="59" t="n">
        <f aca="false">+G8*(1+$E$10/4)</f>
        <v>42981.8682244034</v>
      </c>
      <c r="I8" s="59" t="n">
        <f aca="false">+H8*(1+$E$10/4)</f>
        <v>43519.1415772084</v>
      </c>
      <c r="J8" s="59" t="n">
        <f aca="false">+I8*(1+$E$10/4)</f>
        <v>44063.1308469235</v>
      </c>
      <c r="K8" s="59" t="n">
        <f aca="false">+J8*(1+$E$10/4)</f>
        <v>44613.9199825101</v>
      </c>
      <c r="L8" s="59" t="n">
        <f aca="false">+K8*(1+$E$10/4)</f>
        <v>45171.5939822915</v>
      </c>
      <c r="M8" s="59" t="n">
        <f aca="false">+L8*(1+$E$10/4)</f>
        <v>45736.2389070701</v>
      </c>
      <c r="N8" s="59" t="n">
        <f aca="false">+M8*(1+$E$10/4)</f>
        <v>46307.9418934085</v>
      </c>
      <c r="O8" s="59" t="n">
        <f aca="false">+N8*(1+$E$10/4)</f>
        <v>46886.7911670761</v>
      </c>
      <c r="P8" s="59" t="n">
        <f aca="false">+O8*(1+$E$10/4)</f>
        <v>47472.8760566645</v>
      </c>
      <c r="Q8" s="59" t="n">
        <f aca="false">+P8*(1+$E$10/4)</f>
        <v>48066.2870073728</v>
      </c>
      <c r="R8" s="59" t="n">
        <f aca="false">+Q8*(1+$E$10/4)</f>
        <v>48667.115594965</v>
      </c>
      <c r="S8" s="59" t="n">
        <f aca="false">+R8*(1+$E$10/4)</f>
        <v>49275.454539902</v>
      </c>
      <c r="T8" s="59" t="n">
        <f aca="false">+S8*(1+$E$10/4)</f>
        <v>49891.3977216508</v>
      </c>
      <c r="U8" s="59" t="n">
        <f aca="false">+T8*(1+$E$10/4)</f>
        <v>50515.0401931714</v>
      </c>
      <c r="V8" s="59" t="n">
        <f aca="false">+U8*(1+$E$10/4)</f>
        <v>51146.4781955861</v>
      </c>
      <c r="W8" s="59" t="n">
        <f aca="false">+V8*(1+$E$10/4)</f>
        <v>51785.8091730309</v>
      </c>
      <c r="X8" s="59" t="n">
        <f aca="false">+W8*(1+$E$10/4)</f>
        <v>52433.1317876938</v>
      </c>
      <c r="Y8" s="59" t="n">
        <f aca="false">+X8*(1+$E$10/4)</f>
        <v>53088.54593504</v>
      </c>
      <c r="Z8" s="59" t="n">
        <f aca="false">+Y8*(1+$E$10/4)</f>
        <v>53752.152759228</v>
      </c>
      <c r="AA8" s="59" t="n">
        <f aca="false">+Z8*(1+$E$10/4)</f>
        <v>54424.0546687183</v>
      </c>
      <c r="AB8" s="59" t="n">
        <f aca="false">+AA8*(1+$E$10/4)</f>
        <v>55104.3553520773</v>
      </c>
      <c r="AC8" s="59" t="n">
        <f aca="false">+AB8*(1+$E$10/4)</f>
        <v>55793.1597939782</v>
      </c>
      <c r="AD8" s="59" t="n">
        <f aca="false">+AC8*(1+$E$10/4)</f>
        <v>56490.574291403</v>
      </c>
      <c r="AE8" s="59" t="n">
        <f aca="false">+AD8*(1+$E$10/4)</f>
        <v>57196.7064700455</v>
      </c>
      <c r="AF8" s="59" t="n">
        <f aca="false">+AE8*(1+$E$10/4)</f>
        <v>57911.6653009211</v>
      </c>
      <c r="AG8" s="59" t="n">
        <f aca="false">+AF8*(1+$E$10/4)</f>
        <v>58635.5611171826</v>
      </c>
      <c r="AH8" s="59" t="n">
        <f aca="false">+AG8*(1+$E$10/4)</f>
        <v>59368.5056311473</v>
      </c>
      <c r="AI8" s="59" t="n">
        <f aca="false">+AH8*(1+$E$10/4)</f>
        <v>60110.6119515367</v>
      </c>
      <c r="AJ8" s="59" t="n">
        <f aca="false">+AI8*(1+$E$10/4)</f>
        <v>60861.9946009309</v>
      </c>
      <c r="AK8" s="59" t="n">
        <f aca="false">+AJ8*(1+$E$10/4)</f>
        <v>61622.7695334425</v>
      </c>
      <c r="AL8" s="59" t="n">
        <f aca="false">+AK8*(1+$E$10/4)</f>
        <v>62393.0541526106</v>
      </c>
      <c r="AM8" s="59" t="n">
        <f aca="false">+AL8*(1+$E$10/4)</f>
        <v>63172.9673295182</v>
      </c>
      <c r="AN8" s="59" t="n">
        <f aca="false">+AM8*(1+$E$10/4)</f>
        <v>63962.6294211372</v>
      </c>
      <c r="AO8" s="59" t="n">
        <f aca="false">+AN8*(1+$E$10/4)</f>
        <v>64762.1622889014</v>
      </c>
      <c r="AP8" s="59" t="n">
        <f aca="false">+AO8*(1+$E$10/4)</f>
        <v>65571.6893175126</v>
      </c>
      <c r="AQ8" s="59" t="n">
        <f aca="false">+AP8*(1+$E$10/4)</f>
        <v>66391.3354339815</v>
      </c>
      <c r="AR8" s="59" t="n">
        <f aca="false">+AQ8*(1+$E$10/4)</f>
        <v>67221.2271269063</v>
      </c>
      <c r="AS8" s="59" t="n">
        <f aca="false">+AR8*(1+$E$10/4)</f>
        <v>68061.4924659926</v>
      </c>
      <c r="AT8" s="59" t="n">
        <f aca="false">+AS8*(1+$E$10/4)</f>
        <v>68912.2611218175</v>
      </c>
      <c r="AU8" s="59" t="n">
        <f aca="false">+AT8*(1+$E$10/4)</f>
        <v>69773.6643858403</v>
      </c>
      <c r="AV8" s="59" t="n">
        <f aca="false">+AU8*(1+$E$10/4)</f>
        <v>70645.8351906633</v>
      </c>
      <c r="AW8" s="59" t="n">
        <f aca="false">+AV8*(1+$E$10/4)</f>
        <v>71528.9081305466</v>
      </c>
      <c r="AX8" s="59" t="n">
        <f aca="false">+AW8*(1+$E$10/4)</f>
        <v>72423.0194821784</v>
      </c>
      <c r="AY8" s="59" t="n">
        <f aca="false">+AX8*(1+$E$10/4)</f>
        <v>73328.3072257056</v>
      </c>
      <c r="AZ8" s="59" t="n">
        <f aca="false">+AY8*(1+$E$10/4)</f>
        <v>74244.9110660269</v>
      </c>
      <c r="BA8" s="59" t="n">
        <f aca="false">+AZ8*(1+$E$10/4)</f>
        <v>75172.9724543523</v>
      </c>
    </row>
    <row r="9" customFormat="false" ht="12.75" hidden="false" customHeight="false" outlineLevel="0" collapsed="false">
      <c r="E9" s="71"/>
      <c r="F9" s="71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customFormat="false" ht="12.75" hidden="false" customHeight="false" outlineLevel="0" collapsed="false">
      <c r="B10" s="0" t="s">
        <v>63</v>
      </c>
      <c r="E10" s="36" t="n">
        <v>0.05</v>
      </c>
    </row>
    <row r="11" customFormat="false" ht="12.75" hidden="false" customHeight="false" outlineLevel="0" collapsed="false">
      <c r="G11" s="72" t="n">
        <v>36794</v>
      </c>
    </row>
    <row r="12" customFormat="false" ht="12.75" hidden="false" customHeight="false" outlineLevel="0" collapsed="false">
      <c r="B12" s="0" t="s">
        <v>64</v>
      </c>
      <c r="D12" s="73" t="n">
        <f aca="false">+Summary!G5</f>
        <v>0.085</v>
      </c>
      <c r="E12" s="59" t="n">
        <f aca="false">XNPV($D$12,E8:Q8,E$6:Q$6)</f>
        <v>448594.069523756</v>
      </c>
      <c r="G12" s="74" t="n">
        <v>162292</v>
      </c>
      <c r="J12" s="46"/>
    </row>
    <row r="13" customFormat="false" ht="12.75" hidden="false" customHeight="false" outlineLevel="0" collapsed="false">
      <c r="D13" s="36"/>
      <c r="E13" s="59" t="n">
        <v>377805</v>
      </c>
      <c r="G13" s="74" t="n">
        <v>153637</v>
      </c>
      <c r="J13" s="46"/>
    </row>
    <row r="15" customFormat="false" ht="12.75" hidden="false" customHeight="false" outlineLevel="0" collapsed="false">
      <c r="A15" s="0" t="s">
        <v>65</v>
      </c>
      <c r="E15" s="46" t="n">
        <v>0</v>
      </c>
      <c r="F15" s="46" t="n">
        <v>0</v>
      </c>
      <c r="G15" s="46" t="n">
        <v>0</v>
      </c>
      <c r="H15" s="46" t="n">
        <v>0</v>
      </c>
    </row>
    <row r="17" customFormat="false" ht="12.75" hidden="false" customHeight="false" outlineLevel="0" collapsed="false">
      <c r="B17" s="0" t="s">
        <v>64</v>
      </c>
      <c r="D17" s="75" t="n">
        <f aca="false">+D12</f>
        <v>0.085</v>
      </c>
      <c r="E17" s="59" t="n">
        <f aca="false">XNPV($D$17,E$15:$H15,E$6:$H6)</f>
        <v>0</v>
      </c>
      <c r="G17" s="74" t="n">
        <v>14685</v>
      </c>
      <c r="J17" s="59"/>
    </row>
    <row r="18" customFormat="false" ht="12.75" hidden="false" customHeight="false" outlineLevel="0" collapsed="false">
      <c r="D18" s="75"/>
      <c r="E18" s="59"/>
      <c r="G18" s="74" t="n">
        <v>14441</v>
      </c>
      <c r="J18" s="59"/>
    </row>
    <row r="19" customFormat="false" ht="12.75" hidden="false" customHeight="false" outlineLevel="0" collapsed="false">
      <c r="C19" s="75"/>
      <c r="D19" s="59"/>
      <c r="E19" s="46"/>
      <c r="F19" s="46"/>
      <c r="G19" s="46"/>
      <c r="H19" s="46"/>
    </row>
    <row r="20" customFormat="false" ht="12.75" hidden="false" customHeight="false" outlineLevel="0" collapsed="false">
      <c r="A20" s="0" t="s">
        <v>66</v>
      </c>
      <c r="B20" s="75"/>
      <c r="D20" s="59"/>
      <c r="E20" s="70" t="n">
        <f aca="false">+Summary!G6</f>
        <v>36875</v>
      </c>
      <c r="F20" s="70" t="n">
        <v>37256</v>
      </c>
      <c r="G20" s="70" t="n">
        <v>37621</v>
      </c>
      <c r="H20" s="70" t="n">
        <v>37986</v>
      </c>
      <c r="I20" s="70" t="n">
        <v>38352</v>
      </c>
      <c r="J20" s="70" t="n">
        <v>38717</v>
      </c>
      <c r="K20" s="70" t="n">
        <v>39082</v>
      </c>
      <c r="L20" s="70" t="n">
        <v>39447</v>
      </c>
      <c r="M20" s="70" t="n">
        <v>39813</v>
      </c>
      <c r="N20" s="70" t="n">
        <v>40178</v>
      </c>
      <c r="O20" s="70" t="n">
        <v>40543</v>
      </c>
      <c r="P20" s="70" t="n">
        <v>40908</v>
      </c>
      <c r="Q20" s="70" t="n">
        <f aca="false">+Q6</f>
        <v>38214</v>
      </c>
      <c r="R20" s="76" t="n">
        <v>41639</v>
      </c>
    </row>
    <row r="21" customFormat="false" ht="12.75" hidden="false" customHeight="false" outlineLevel="0" collapsed="false">
      <c r="B21" s="75"/>
      <c r="D21" s="5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6"/>
    </row>
    <row r="22" customFormat="false" ht="12.75" hidden="false" customHeight="false" outlineLevel="0" collapsed="false">
      <c r="A22" s="0" t="s">
        <v>67</v>
      </c>
      <c r="B22" s="75"/>
      <c r="D22" s="5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6"/>
    </row>
    <row r="23" customFormat="false" ht="12.75" hidden="false" customHeight="false" outlineLevel="0" collapsed="false">
      <c r="B23" s="75" t="s">
        <v>68</v>
      </c>
      <c r="D23" s="59"/>
      <c r="E23" s="70"/>
      <c r="F23" s="59" t="n">
        <v>678</v>
      </c>
      <c r="G23" s="59" t="n">
        <v>678</v>
      </c>
      <c r="H23" s="59" t="n">
        <v>678</v>
      </c>
      <c r="I23" s="59" t="n">
        <v>678</v>
      </c>
      <c r="J23" s="59" t="n">
        <v>678</v>
      </c>
      <c r="K23" s="59" t="n">
        <v>678</v>
      </c>
      <c r="L23" s="59" t="n">
        <v>678</v>
      </c>
      <c r="M23" s="59" t="n">
        <v>678</v>
      </c>
      <c r="N23" s="59" t="n">
        <v>678</v>
      </c>
      <c r="O23" s="59" t="n">
        <v>678</v>
      </c>
      <c r="P23" s="59" t="n">
        <v>678</v>
      </c>
      <c r="Q23" s="59" t="n">
        <v>678</v>
      </c>
      <c r="R23" s="76"/>
    </row>
    <row r="24" customFormat="false" ht="12.75" hidden="false" customHeight="false" outlineLevel="0" collapsed="false">
      <c r="B24" s="75" t="s">
        <v>69</v>
      </c>
      <c r="D24" s="59"/>
      <c r="E24" s="70"/>
      <c r="F24" s="59" t="n">
        <v>0</v>
      </c>
      <c r="G24" s="59" t="n">
        <v>0</v>
      </c>
      <c r="H24" s="59" t="n">
        <v>0</v>
      </c>
      <c r="I24" s="59" t="n">
        <v>0</v>
      </c>
      <c r="J24" s="59" t="n">
        <v>0</v>
      </c>
      <c r="K24" s="59" t="n">
        <v>0</v>
      </c>
      <c r="L24" s="59" t="n">
        <v>0</v>
      </c>
      <c r="M24" s="59" t="n">
        <v>0</v>
      </c>
      <c r="N24" s="59" t="n">
        <v>0</v>
      </c>
      <c r="O24" s="59" t="n">
        <v>0</v>
      </c>
      <c r="P24" s="59" t="n">
        <v>0</v>
      </c>
      <c r="Q24" s="59" t="n">
        <v>0</v>
      </c>
      <c r="R24" s="76"/>
    </row>
    <row r="25" customFormat="false" ht="15" hidden="false" customHeight="false" outlineLevel="0" collapsed="false">
      <c r="B25" s="75" t="s">
        <v>70</v>
      </c>
      <c r="D25" s="59"/>
      <c r="E25" s="46"/>
      <c r="F25" s="43" t="n">
        <v>0</v>
      </c>
      <c r="G25" s="43" t="n">
        <v>0</v>
      </c>
      <c r="H25" s="43" t="n">
        <v>0</v>
      </c>
      <c r="I25" s="43" t="n">
        <v>0</v>
      </c>
      <c r="J25" s="43" t="n">
        <v>0</v>
      </c>
      <c r="K25" s="43" t="n">
        <v>0</v>
      </c>
      <c r="L25" s="43" t="n">
        <v>0</v>
      </c>
      <c r="M25" s="43" t="n">
        <v>0</v>
      </c>
      <c r="N25" s="43" t="n">
        <v>0</v>
      </c>
      <c r="O25" s="43" t="n">
        <v>0</v>
      </c>
      <c r="P25" s="43" t="n">
        <v>0</v>
      </c>
      <c r="Q25" s="43" t="n">
        <v>0</v>
      </c>
    </row>
    <row r="26" customFormat="false" ht="12.75" hidden="false" customHeight="false" outlineLevel="0" collapsed="false">
      <c r="C26" s="75" t="s">
        <v>25</v>
      </c>
      <c r="D26" s="59"/>
      <c r="E26" s="46"/>
      <c r="F26" s="46" t="n">
        <f aca="false">SUM(F23:F25)</f>
        <v>678</v>
      </c>
      <c r="G26" s="46" t="n">
        <f aca="false">SUM(G23:G25)</f>
        <v>678</v>
      </c>
      <c r="H26" s="46" t="n">
        <f aca="false">SUM(H23:H25)</f>
        <v>678</v>
      </c>
      <c r="I26" s="46" t="n">
        <f aca="false">SUM(I23:I25)</f>
        <v>678</v>
      </c>
      <c r="J26" s="46" t="n">
        <f aca="false">SUM(J23:J25)</f>
        <v>678</v>
      </c>
      <c r="K26" s="46" t="n">
        <f aca="false">SUM(K23:K25)</f>
        <v>678</v>
      </c>
      <c r="L26" s="46" t="n">
        <f aca="false">SUM(L23:L25)</f>
        <v>678</v>
      </c>
      <c r="M26" s="46" t="n">
        <f aca="false">SUM(M23:M25)</f>
        <v>678</v>
      </c>
      <c r="N26" s="46" t="n">
        <f aca="false">SUM(N23:N25)</f>
        <v>678</v>
      </c>
      <c r="O26" s="46" t="n">
        <f aca="false">SUM(O23:O25)</f>
        <v>678</v>
      </c>
      <c r="P26" s="46" t="n">
        <f aca="false">SUM(P23:P25)</f>
        <v>678</v>
      </c>
      <c r="Q26" s="46" t="n">
        <f aca="false">SUM(Q23:Q25)</f>
        <v>678</v>
      </c>
    </row>
    <row r="27" customFormat="false" ht="12.75" hidden="false" customHeight="false" outlineLevel="0" collapsed="false">
      <c r="C27" s="75"/>
      <c r="D27" s="59"/>
      <c r="E27" s="46"/>
      <c r="F27" s="46"/>
      <c r="G27" s="46"/>
      <c r="H27" s="46"/>
    </row>
    <row r="28" customFormat="false" ht="12.75" hidden="false" customHeight="false" outlineLevel="0" collapsed="false">
      <c r="A28" s="0" t="s">
        <v>71</v>
      </c>
      <c r="D28" s="46"/>
      <c r="F28" s="77" t="n">
        <f aca="false">+Summary!G15</f>
        <v>38.5</v>
      </c>
      <c r="G28" s="78" t="n">
        <f aca="false">+F28*(1+G30)</f>
        <v>43.12</v>
      </c>
      <c r="H28" s="78" t="n">
        <f aca="false">+G28*(1+H30)</f>
        <v>48.2944</v>
      </c>
      <c r="I28" s="78" t="n">
        <f aca="false">+H28*(1+I30)</f>
        <v>54.089728</v>
      </c>
      <c r="J28" s="78" t="n">
        <f aca="false">+I28*(1+J30)</f>
        <v>54.089728</v>
      </c>
      <c r="K28" s="78" t="n">
        <f aca="false">+J28*(1+K30)</f>
        <v>54.089728</v>
      </c>
      <c r="L28" s="78" t="n">
        <f aca="false">+K28*(1+L30)</f>
        <v>54.089728</v>
      </c>
      <c r="M28" s="78" t="n">
        <f aca="false">+L28*(1+M30)</f>
        <v>54.089728</v>
      </c>
      <c r="N28" s="78" t="n">
        <f aca="false">+M28*(1+N30)</f>
        <v>54.089728</v>
      </c>
      <c r="O28" s="78" t="n">
        <f aca="false">+N28*(1+O30)</f>
        <v>54.089728</v>
      </c>
      <c r="P28" s="78" t="n">
        <f aca="false">+O28*(1+P30)</f>
        <v>54.089728</v>
      </c>
      <c r="Q28" s="78" t="n">
        <f aca="false">+P28*(1+Q30)</f>
        <v>54.089728</v>
      </c>
      <c r="R28" s="78" t="n">
        <f aca="false">+Q28*(1+R30)</f>
        <v>54.089728</v>
      </c>
    </row>
    <row r="29" customFormat="false" ht="12.75" hidden="false" customHeight="false" outlineLevel="0" collapsed="false">
      <c r="C29" s="36"/>
      <c r="D29" s="46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customFormat="false" ht="12.75" hidden="false" customHeight="false" outlineLevel="0" collapsed="false">
      <c r="B30" s="0" t="s">
        <v>63</v>
      </c>
      <c r="C30" s="36"/>
      <c r="D30" s="46"/>
      <c r="F30" s="36"/>
      <c r="G30" s="36" t="n">
        <v>0.12</v>
      </c>
      <c r="H30" s="36" t="n">
        <v>0.12</v>
      </c>
      <c r="I30" s="36" t="n">
        <v>0.12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</row>
    <row r="31" customFormat="false" ht="12.75" hidden="false" customHeight="false" outlineLevel="0" collapsed="false">
      <c r="C31" s="75"/>
      <c r="D31" s="59"/>
      <c r="E31" s="46"/>
      <c r="F31" s="46"/>
      <c r="G31" s="46"/>
      <c r="H31" s="46"/>
    </row>
    <row r="32" customFormat="false" ht="12.75" hidden="false" customHeight="false" outlineLevel="0" collapsed="false">
      <c r="A32" s="0" t="s">
        <v>72</v>
      </c>
      <c r="C32" s="75"/>
      <c r="D32" s="59"/>
      <c r="E32" s="46" t="n">
        <v>0</v>
      </c>
      <c r="F32" s="46" t="n">
        <f aca="false">+F28*F26</f>
        <v>26103</v>
      </c>
      <c r="G32" s="46" t="n">
        <f aca="false">+G28*G26</f>
        <v>29235.36</v>
      </c>
      <c r="H32" s="46" t="n">
        <f aca="false">+H28*H26</f>
        <v>32743.6032</v>
      </c>
      <c r="I32" s="46" t="n">
        <f aca="false">+I28*I26</f>
        <v>36672.835584</v>
      </c>
      <c r="J32" s="46" t="n">
        <f aca="false">+J28*J26</f>
        <v>36672.835584</v>
      </c>
      <c r="K32" s="46" t="n">
        <f aca="false">+K28*K26</f>
        <v>36672.835584</v>
      </c>
      <c r="L32" s="46" t="n">
        <f aca="false">+L28*L26</f>
        <v>36672.835584</v>
      </c>
      <c r="M32" s="46" t="n">
        <f aca="false">+M28*M26</f>
        <v>36672.835584</v>
      </c>
      <c r="N32" s="46" t="n">
        <f aca="false">+N28*N26</f>
        <v>36672.835584</v>
      </c>
      <c r="O32" s="46" t="n">
        <f aca="false">+O28*O26</f>
        <v>36672.835584</v>
      </c>
      <c r="P32" s="46" t="n">
        <f aca="false">+P28*P26</f>
        <v>36672.835584</v>
      </c>
      <c r="Q32" s="46" t="n">
        <f aca="false">+Q28*Q26</f>
        <v>36672.835584</v>
      </c>
      <c r="R32" s="46" t="n">
        <f aca="false">+R28*R26</f>
        <v>0</v>
      </c>
    </row>
    <row r="33" customFormat="false" ht="12.75" hidden="false" customHeight="false" outlineLevel="0" collapsed="false">
      <c r="C33" s="75"/>
      <c r="D33" s="59"/>
      <c r="E33" s="46"/>
      <c r="F33" s="46"/>
      <c r="G33" s="46"/>
      <c r="H33" s="46"/>
    </row>
    <row r="34" customFormat="false" ht="12.75" hidden="false" customHeight="false" outlineLevel="0" collapsed="false">
      <c r="B34" s="0" t="s">
        <v>64</v>
      </c>
      <c r="D34" s="73" t="n">
        <f aca="false">+Summary!G7</f>
        <v>0.116</v>
      </c>
      <c r="F34" s="59" t="n">
        <f aca="false">+F$32/((1+$D34)^(YEAR(F$20)-YEAR($E$20)))</f>
        <v>23389.7849462366</v>
      </c>
      <c r="G34" s="59" t="n">
        <f aca="false">+G32/((1+$D$34)^(YEAR(G20)-YEAR($E$20)))</f>
        <v>23473.6193008826</v>
      </c>
      <c r="H34" s="59" t="n">
        <f aca="false">+H32/((1+$D$34)^(YEAR(H20)-YEAR($E$20)))</f>
        <v>23557.7541370864</v>
      </c>
      <c r="I34" s="59" t="n">
        <f aca="false">+I32/((1+$D$34)^(YEAR(I20)-YEAR($E$20)))</f>
        <v>23642.190531843</v>
      </c>
      <c r="J34" s="59" t="n">
        <f aca="false">+J32/((1+$D$34)^(YEAR(J20)-YEAR($E$20)))</f>
        <v>21184.758541078</v>
      </c>
      <c r="K34" s="59" t="n">
        <f aca="false">+K32/((1+$D$34)^(YEAR(K20)-YEAR($E$20)))</f>
        <v>18982.758549353</v>
      </c>
      <c r="L34" s="59" t="n">
        <f aca="false">+L32/((1+$D$34)^(YEAR(L20)-YEAR($E$20)))</f>
        <v>17009.6402771981</v>
      </c>
      <c r="M34" s="59" t="n">
        <f aca="false">+M32/((1+$D$34)^(YEAR(M20)-YEAR($E$20)))</f>
        <v>15241.6131516112</v>
      </c>
      <c r="N34" s="59" t="n">
        <f aca="false">+N32/((1+$D$34)^(YEAR(N20)-YEAR($E$20)))</f>
        <v>13657.3594548487</v>
      </c>
      <c r="O34" s="59" t="n">
        <f aca="false">+O32/((1+$D$34)^(YEAR(O20)-YEAR($E$20)))</f>
        <v>12237.777289291</v>
      </c>
      <c r="P34" s="59" t="n">
        <f aca="false">+P32/((1+$D$34)^(YEAR(P20)-YEAR($E$20)))</f>
        <v>10965.7502592213</v>
      </c>
      <c r="Q34" s="59" t="n">
        <f aca="false">+Q32/((1+$D$34)^(YEAR(Q20)-YEAR($E$20)))</f>
        <v>23642.190531843</v>
      </c>
      <c r="R34" s="0" t="n">
        <v>0</v>
      </c>
    </row>
    <row r="36" customFormat="false" ht="12.75" hidden="false" customHeight="false" outlineLevel="0" collapsed="false">
      <c r="A36" s="0" t="s">
        <v>73</v>
      </c>
      <c r="E36" s="59" t="n">
        <f aca="false">SUMPRODUCT(F34:R34,F38:R38)</f>
        <v>23515.8372290121</v>
      </c>
      <c r="F36" s="46" t="n">
        <f aca="false">+$E$12+$E$17+F34</f>
        <v>471983.854469993</v>
      </c>
      <c r="G36" s="46" t="n">
        <f aca="false">+$E$12+$E$17+G34</f>
        <v>472067.688824639</v>
      </c>
      <c r="H36" s="46" t="n">
        <f aca="false">+$E$12+$E$17+H34</f>
        <v>472151.823660843</v>
      </c>
      <c r="I36" s="46" t="n">
        <f aca="false">+$E$12+$E$17+I34</f>
        <v>472236.260055599</v>
      </c>
      <c r="J36" s="46" t="n">
        <f aca="false">+$E$12+$E$17+J34</f>
        <v>469778.828064834</v>
      </c>
      <c r="K36" s="46" t="n">
        <f aca="false">+$E$12+$E$17+K34</f>
        <v>467576.828073109</v>
      </c>
      <c r="L36" s="46" t="n">
        <f aca="false">+$E$12+$E$17+L34</f>
        <v>465603.709800954</v>
      </c>
      <c r="M36" s="46" t="n">
        <f aca="false">+$E$12+$E$17+M34</f>
        <v>463835.682675368</v>
      </c>
      <c r="N36" s="46" t="n">
        <f aca="false">+$E$12+$E$17+N34</f>
        <v>462251.428978605</v>
      </c>
      <c r="O36" s="46" t="n">
        <f aca="false">+$E$12+$E$17+O34</f>
        <v>460831.846813047</v>
      </c>
      <c r="P36" s="46" t="n">
        <f aca="false">+$E$12+$E$17+P34</f>
        <v>459559.819782978</v>
      </c>
      <c r="Q36" s="46" t="n">
        <f aca="false">+$E$12+$E$17+Q34</f>
        <v>472236.260055599</v>
      </c>
      <c r="R36" s="46" t="n">
        <f aca="false">+$E$12+$E$17+R34</f>
        <v>448594.069523756</v>
      </c>
    </row>
    <row r="37" customFormat="false" ht="12.75" hidden="false" customHeight="false" outlineLevel="0" collapsed="false">
      <c r="F37" s="46"/>
      <c r="G37" s="46"/>
      <c r="H37" s="46"/>
      <c r="I37" s="46"/>
      <c r="J37" s="46"/>
    </row>
    <row r="38" customFormat="false" ht="12.75" hidden="false" customHeight="false" outlineLevel="0" collapsed="false">
      <c r="A38" s="0" t="s">
        <v>74</v>
      </c>
      <c r="D38" s="79" t="n">
        <f aca="false">SUM(F38:R38)</f>
        <v>1</v>
      </c>
      <c r="F38" s="80" t="n">
        <f aca="false">IF(Summary!$E$36="yes",0.1,0.25)</f>
        <v>0.25</v>
      </c>
      <c r="G38" s="80" t="n">
        <f aca="false">IF(Summary!$E$36="yes",0.4,0.25)</f>
        <v>0.25</v>
      </c>
      <c r="H38" s="80" t="n">
        <f aca="false">IF(Summary!$E$36="yes",0.2,0.25)</f>
        <v>0.25</v>
      </c>
      <c r="I38" s="80" t="n">
        <f aca="false">IF(Summary!$E$36="yes",0.15,0.25)</f>
        <v>0.25</v>
      </c>
      <c r="J38" s="80" t="n">
        <f aca="false">IF(Summary!$E$36="yes",0.1,0)</f>
        <v>0</v>
      </c>
      <c r="K38" s="80" t="n">
        <f aca="false">IF(Summary!$E$36="yes",0,0)</f>
        <v>0</v>
      </c>
      <c r="L38" s="80" t="n">
        <f aca="false">IF(Summary!$E$36="yes",0,0)</f>
        <v>0</v>
      </c>
      <c r="M38" s="80" t="n">
        <f aca="false">IF(Summary!$E$36="yes",0,0)</f>
        <v>0</v>
      </c>
      <c r="N38" s="80" t="n">
        <f aca="false">IF(Summary!$E$36="yes",0,0)</f>
        <v>0</v>
      </c>
      <c r="O38" s="80" t="n">
        <f aca="false">IF(Summary!$E$36="yes",0,0)</f>
        <v>0</v>
      </c>
      <c r="P38" s="80" t="n">
        <f aca="false">IF(Summary!$E$36="yes",0,0)</f>
        <v>0</v>
      </c>
      <c r="Q38" s="80" t="n">
        <f aca="false">IF(Summary!$E$36="yes",0,0)</f>
        <v>0</v>
      </c>
      <c r="R38" s="80" t="n">
        <f aca="false">IF(Summary!$E$36="yes",0.05,0)</f>
        <v>0</v>
      </c>
    </row>
    <row r="40" customFormat="false" ht="12.75" hidden="false" customHeight="false" outlineLevel="0" collapsed="false">
      <c r="A40" s="0" t="s">
        <v>75</v>
      </c>
      <c r="D40" s="75" t="n">
        <f aca="false">+D17</f>
        <v>0.085</v>
      </c>
      <c r="E40" s="81" t="n">
        <f aca="false">SUM(F40:R40)</f>
        <v>472109.906752768</v>
      </c>
      <c r="F40" s="46" t="n">
        <f aca="false">+F36*F38</f>
        <v>117995.963617498</v>
      </c>
      <c r="G40" s="46" t="n">
        <f aca="false">+G36*G38</f>
        <v>118016.92220616</v>
      </c>
      <c r="H40" s="46" t="n">
        <f aca="false">+H36*H38</f>
        <v>118037.955915211</v>
      </c>
      <c r="I40" s="46" t="n">
        <f aca="false">+I36*I38</f>
        <v>118059.0650139</v>
      </c>
      <c r="J40" s="46" t="n">
        <f aca="false">+J36*J38</f>
        <v>0</v>
      </c>
      <c r="K40" s="46" t="n">
        <f aca="false">+K36*K38</f>
        <v>0</v>
      </c>
      <c r="L40" s="46" t="n">
        <f aca="false">+L36*L38</f>
        <v>0</v>
      </c>
      <c r="M40" s="46" t="n">
        <f aca="false">+M36*M38</f>
        <v>0</v>
      </c>
      <c r="N40" s="46" t="n">
        <f aca="false">+N36*N38</f>
        <v>0</v>
      </c>
      <c r="O40" s="46" t="n">
        <f aca="false">+O36*O38</f>
        <v>0</v>
      </c>
      <c r="P40" s="46" t="n">
        <f aca="false">+P36*P38</f>
        <v>0</v>
      </c>
      <c r="Q40" s="46" t="n">
        <f aca="false">+Q36*Q38</f>
        <v>0</v>
      </c>
      <c r="R40" s="46" t="n">
        <f aca="false">+R36*R38</f>
        <v>0</v>
      </c>
    </row>
    <row r="41" customFormat="false" ht="12.75" hidden="false" customHeight="false" outlineLevel="0" collapsed="false">
      <c r="D41" s="75"/>
      <c r="E41" s="21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customFormat="false" ht="12.75" hidden="false" customHeight="false" outlineLevel="0" collapsed="false"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customFormat="false" ht="12.75" hidden="false" customHeight="false" outlineLevel="0" collapsed="false">
      <c r="A43" s="76" t="s">
        <v>76</v>
      </c>
      <c r="D43" s="75" t="n">
        <v>0.0825</v>
      </c>
      <c r="E43" s="82" t="n">
        <v>206616</v>
      </c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customFormat="false" ht="12.75" hidden="false" customHeight="false" outlineLevel="0" collapsed="false">
      <c r="D44" s="75" t="n">
        <v>0.0925</v>
      </c>
      <c r="E44" s="82" t="n">
        <v>197718</v>
      </c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customFormat="false" ht="12.75" hidden="false" customHeight="false" outlineLevel="0" collapsed="false"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customFormat="false" ht="12.75" hidden="false" customHeight="false" outlineLevel="0" collapsed="false"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8" customFormat="false" ht="12.75" hidden="false" customHeight="false" outlineLevel="0" collapsed="false">
      <c r="E48" s="70" t="n">
        <f aca="false">+E6</f>
        <v>36891</v>
      </c>
      <c r="F48" s="70" t="n">
        <f aca="false">+F6</f>
        <v>37210</v>
      </c>
      <c r="G48" s="70" t="n">
        <f aca="false">+G6</f>
        <v>37302</v>
      </c>
      <c r="H48" s="70" t="n">
        <f aca="false">+H6</f>
        <v>37391</v>
      </c>
      <c r="I48" s="70" t="n">
        <f aca="false">+I6</f>
        <v>37483</v>
      </c>
      <c r="J48" s="70" t="n">
        <f aca="false">+J6</f>
        <v>37575</v>
      </c>
      <c r="K48" s="70" t="n">
        <f aca="false">+K6</f>
        <v>37667</v>
      </c>
      <c r="L48" s="70" t="n">
        <f aca="false">+L6</f>
        <v>37756</v>
      </c>
      <c r="M48" s="70" t="n">
        <f aca="false">+M6</f>
        <v>37848</v>
      </c>
      <c r="N48" s="70" t="n">
        <f aca="false">+N6</f>
        <v>37940</v>
      </c>
      <c r="O48" s="70" t="n">
        <f aca="false">+O6</f>
        <v>38032</v>
      </c>
      <c r="P48" s="70" t="n">
        <f aca="false">+P6</f>
        <v>38122</v>
      </c>
      <c r="Q48" s="70" t="n">
        <f aca="false">+Q6</f>
        <v>38214</v>
      </c>
    </row>
    <row r="49" customFormat="false" ht="12.75" hidden="false" customHeight="false" outlineLevel="0" collapsed="false">
      <c r="A49" s="7" t="s">
        <v>77</v>
      </c>
      <c r="B49" s="8"/>
      <c r="C49" s="83"/>
      <c r="D49" s="84"/>
      <c r="E49" s="85" t="n">
        <v>0</v>
      </c>
      <c r="F49" s="85" t="n">
        <f aca="false">+F8</f>
        <v>41927.1386429175</v>
      </c>
      <c r="G49" s="85" t="n">
        <f aca="false">+G8</f>
        <v>42451.227875954</v>
      </c>
      <c r="H49" s="85" t="n">
        <f aca="false">+H8</f>
        <v>42981.8682244034</v>
      </c>
      <c r="I49" s="85" t="n">
        <f aca="false">+I8</f>
        <v>43519.1415772084</v>
      </c>
      <c r="J49" s="85" t="n">
        <f aca="false">+J8</f>
        <v>44063.1308469235</v>
      </c>
      <c r="K49" s="85" t="n">
        <f aca="false">+K8</f>
        <v>44613.9199825101</v>
      </c>
      <c r="L49" s="85" t="n">
        <f aca="false">+L8</f>
        <v>45171.5939822915</v>
      </c>
      <c r="M49" s="85" t="n">
        <f aca="false">+M8</f>
        <v>45736.2389070701</v>
      </c>
      <c r="N49" s="85" t="n">
        <f aca="false">+N8</f>
        <v>46307.9418934085</v>
      </c>
      <c r="O49" s="85" t="n">
        <f aca="false">+O8</f>
        <v>46886.7911670761</v>
      </c>
      <c r="P49" s="85" t="n">
        <f aca="false">+P8</f>
        <v>47472.8760566645</v>
      </c>
      <c r="Q49" s="86" t="n">
        <f aca="false">+Q8</f>
        <v>48066.2870073728</v>
      </c>
      <c r="R49" s="46"/>
      <c r="S49" s="46"/>
    </row>
    <row r="50" customFormat="false" ht="12.75" hidden="false" customHeight="false" outlineLevel="0" collapsed="false">
      <c r="A50" s="13"/>
      <c r="B50" s="5"/>
      <c r="C50" s="36"/>
      <c r="D50" s="59"/>
      <c r="E50" s="5"/>
      <c r="F50" s="21" t="n">
        <v>0</v>
      </c>
      <c r="G50" s="21" t="n">
        <f aca="false">+G8</f>
        <v>42451.227875954</v>
      </c>
      <c r="H50" s="21" t="n">
        <f aca="false">+H8</f>
        <v>42981.8682244034</v>
      </c>
      <c r="I50" s="21" t="n">
        <f aca="false">+I8</f>
        <v>43519.1415772084</v>
      </c>
      <c r="J50" s="21" t="n">
        <f aca="false">+J8</f>
        <v>44063.1308469235</v>
      </c>
      <c r="K50" s="21" t="n">
        <f aca="false">+K8</f>
        <v>44613.9199825101</v>
      </c>
      <c r="L50" s="21" t="n">
        <f aca="false">+L8</f>
        <v>45171.5939822915</v>
      </c>
      <c r="M50" s="21" t="n">
        <f aca="false">+M8</f>
        <v>45736.2389070701</v>
      </c>
      <c r="N50" s="21" t="n">
        <f aca="false">+N8</f>
        <v>46307.9418934085</v>
      </c>
      <c r="O50" s="21" t="n">
        <f aca="false">+O8</f>
        <v>46886.7911670761</v>
      </c>
      <c r="P50" s="21" t="n">
        <f aca="false">+P8</f>
        <v>47472.8760566645</v>
      </c>
      <c r="Q50" s="28" t="n">
        <f aca="false">+Q8</f>
        <v>48066.2870073728</v>
      </c>
    </row>
    <row r="51" customFormat="false" ht="12.75" hidden="false" customHeight="false" outlineLevel="0" collapsed="false">
      <c r="A51" s="13"/>
      <c r="B51" s="5"/>
      <c r="C51" s="36"/>
      <c r="D51" s="59"/>
      <c r="E51" s="5"/>
      <c r="F51" s="5"/>
      <c r="G51" s="21" t="n">
        <v>0</v>
      </c>
      <c r="H51" s="21" t="n">
        <f aca="false">+H8</f>
        <v>42981.8682244034</v>
      </c>
      <c r="I51" s="21" t="n">
        <f aca="false">+I8</f>
        <v>43519.1415772084</v>
      </c>
      <c r="J51" s="21" t="n">
        <f aca="false">+J8</f>
        <v>44063.1308469235</v>
      </c>
      <c r="K51" s="21" t="n">
        <f aca="false">+K8</f>
        <v>44613.9199825101</v>
      </c>
      <c r="L51" s="21" t="n">
        <f aca="false">+L8</f>
        <v>45171.5939822915</v>
      </c>
      <c r="M51" s="21" t="n">
        <f aca="false">+M8</f>
        <v>45736.2389070701</v>
      </c>
      <c r="N51" s="21" t="n">
        <f aca="false">+N8</f>
        <v>46307.9418934085</v>
      </c>
      <c r="O51" s="21" t="n">
        <f aca="false">+O8</f>
        <v>46886.7911670761</v>
      </c>
      <c r="P51" s="21" t="n">
        <f aca="false">+P8</f>
        <v>47472.8760566645</v>
      </c>
      <c r="Q51" s="28" t="n">
        <f aca="false">+Q8</f>
        <v>48066.2870073728</v>
      </c>
    </row>
    <row r="52" customFormat="false" ht="12.75" hidden="false" customHeight="false" outlineLevel="0" collapsed="false">
      <c r="A52" s="13"/>
      <c r="B52" s="5"/>
      <c r="C52" s="36"/>
      <c r="D52" s="59"/>
      <c r="E52" s="5"/>
      <c r="F52" s="5"/>
      <c r="G52" s="5"/>
      <c r="H52" s="21" t="n">
        <v>0</v>
      </c>
      <c r="I52" s="21" t="n">
        <f aca="false">+I8</f>
        <v>43519.1415772084</v>
      </c>
      <c r="J52" s="21" t="n">
        <f aca="false">+J8</f>
        <v>44063.1308469235</v>
      </c>
      <c r="K52" s="21" t="n">
        <f aca="false">+K8</f>
        <v>44613.9199825101</v>
      </c>
      <c r="L52" s="21" t="n">
        <f aca="false">+L8</f>
        <v>45171.5939822915</v>
      </c>
      <c r="M52" s="21" t="n">
        <f aca="false">+M8</f>
        <v>45736.2389070701</v>
      </c>
      <c r="N52" s="21" t="n">
        <f aca="false">+N8</f>
        <v>46307.9418934085</v>
      </c>
      <c r="O52" s="21" t="n">
        <f aca="false">+O8</f>
        <v>46886.7911670761</v>
      </c>
      <c r="P52" s="21" t="n">
        <f aca="false">+P8</f>
        <v>47472.8760566645</v>
      </c>
      <c r="Q52" s="28" t="n">
        <f aca="false">+Q8</f>
        <v>48066.2870073728</v>
      </c>
    </row>
    <row r="53" customFormat="false" ht="12.75" hidden="false" customHeight="false" outlineLevel="0" collapsed="false">
      <c r="A53" s="87"/>
      <c r="B53" s="21"/>
      <c r="C53" s="21"/>
      <c r="D53" s="21"/>
      <c r="E53" s="21"/>
      <c r="F53" s="21"/>
      <c r="G53" s="21"/>
      <c r="H53" s="21"/>
      <c r="I53" s="21" t="n">
        <v>0</v>
      </c>
      <c r="J53" s="21" t="n">
        <f aca="false">+J8</f>
        <v>44063.1308469235</v>
      </c>
      <c r="K53" s="21" t="n">
        <f aca="false">+K8</f>
        <v>44613.9199825101</v>
      </c>
      <c r="L53" s="21" t="n">
        <f aca="false">+L8</f>
        <v>45171.5939822915</v>
      </c>
      <c r="M53" s="21" t="n">
        <f aca="false">+M8</f>
        <v>45736.2389070701</v>
      </c>
      <c r="N53" s="21" t="n">
        <f aca="false">+N8</f>
        <v>46307.9418934085</v>
      </c>
      <c r="O53" s="21" t="n">
        <f aca="false">+O8</f>
        <v>46886.7911670761</v>
      </c>
      <c r="P53" s="21" t="n">
        <f aca="false">+P8</f>
        <v>47472.8760566645</v>
      </c>
      <c r="Q53" s="28" t="n">
        <f aca="false">+Q8</f>
        <v>48066.2870073728</v>
      </c>
    </row>
    <row r="54" customFormat="false" ht="12.75" hidden="false" customHeight="false" outlineLevel="0" collapsed="false">
      <c r="A54" s="13"/>
      <c r="B54" s="5"/>
      <c r="C54" s="36"/>
      <c r="D54" s="59"/>
      <c r="E54" s="5"/>
      <c r="F54" s="5"/>
      <c r="G54" s="5"/>
      <c r="H54" s="5"/>
      <c r="I54" s="5"/>
      <c r="J54" s="21" t="n">
        <v>0</v>
      </c>
      <c r="K54" s="21" t="n">
        <f aca="false">+K8</f>
        <v>44613.9199825101</v>
      </c>
      <c r="L54" s="21" t="n">
        <f aca="false">+L8</f>
        <v>45171.5939822915</v>
      </c>
      <c r="M54" s="21" t="n">
        <f aca="false">+M8</f>
        <v>45736.2389070701</v>
      </c>
      <c r="N54" s="21" t="n">
        <f aca="false">+N8</f>
        <v>46307.9418934085</v>
      </c>
      <c r="O54" s="21" t="n">
        <f aca="false">+O8</f>
        <v>46886.7911670761</v>
      </c>
      <c r="P54" s="21" t="n">
        <f aca="false">+P8</f>
        <v>47472.8760566645</v>
      </c>
      <c r="Q54" s="28" t="n">
        <f aca="false">+Q8</f>
        <v>48066.2870073728</v>
      </c>
    </row>
    <row r="55" customFormat="false" ht="12.75" hidden="false" customHeight="false" outlineLevel="0" collapsed="false">
      <c r="A55" s="13"/>
      <c r="B55" s="5"/>
      <c r="C55" s="36"/>
      <c r="D55" s="59"/>
      <c r="E55" s="5"/>
      <c r="F55" s="5"/>
      <c r="G55" s="5"/>
      <c r="H55" s="5"/>
      <c r="I55" s="5"/>
      <c r="J55" s="5"/>
      <c r="K55" s="21" t="n">
        <v>0</v>
      </c>
      <c r="L55" s="21" t="n">
        <f aca="false">+L$8</f>
        <v>45171.5939822915</v>
      </c>
      <c r="M55" s="21" t="n">
        <f aca="false">+M$8</f>
        <v>45736.2389070701</v>
      </c>
      <c r="N55" s="21" t="n">
        <f aca="false">+N$8</f>
        <v>46307.9418934085</v>
      </c>
      <c r="O55" s="21" t="n">
        <f aca="false">+O$8</f>
        <v>46886.7911670761</v>
      </c>
      <c r="P55" s="21" t="n">
        <f aca="false">+P$8</f>
        <v>47472.8760566645</v>
      </c>
      <c r="Q55" s="28" t="n">
        <f aca="false">+Q$8</f>
        <v>48066.2870073728</v>
      </c>
    </row>
    <row r="56" customFormat="false" ht="12.75" hidden="false" customHeight="false" outlineLevel="0" collapsed="false">
      <c r="A56" s="13"/>
      <c r="B56" s="5"/>
      <c r="C56" s="36"/>
      <c r="D56" s="59"/>
      <c r="E56" s="5"/>
      <c r="F56" s="5"/>
      <c r="G56" s="5"/>
      <c r="H56" s="5"/>
      <c r="I56" s="5"/>
      <c r="J56" s="5"/>
      <c r="K56" s="5"/>
      <c r="L56" s="21" t="n">
        <v>0</v>
      </c>
      <c r="M56" s="21" t="n">
        <f aca="false">+M$8</f>
        <v>45736.2389070701</v>
      </c>
      <c r="N56" s="21" t="n">
        <f aca="false">+N$8</f>
        <v>46307.9418934085</v>
      </c>
      <c r="O56" s="21" t="n">
        <f aca="false">+O$8</f>
        <v>46886.7911670761</v>
      </c>
      <c r="P56" s="21" t="n">
        <f aca="false">+P$8</f>
        <v>47472.8760566645</v>
      </c>
      <c r="Q56" s="28" t="n">
        <f aca="false">+Q$8</f>
        <v>48066.2870073728</v>
      </c>
    </row>
    <row r="57" customFormat="false" ht="12.75" hidden="false" customHeight="false" outlineLevel="0" collapsed="false">
      <c r="A57" s="13"/>
      <c r="B57" s="5"/>
      <c r="C57" s="36"/>
      <c r="D57" s="59"/>
      <c r="E57" s="5"/>
      <c r="F57" s="5"/>
      <c r="G57" s="5"/>
      <c r="H57" s="5"/>
      <c r="I57" s="5"/>
      <c r="J57" s="5"/>
      <c r="K57" s="5"/>
      <c r="L57" s="5"/>
      <c r="M57" s="21" t="n">
        <v>0</v>
      </c>
      <c r="N57" s="21" t="n">
        <f aca="false">+N$8</f>
        <v>46307.9418934085</v>
      </c>
      <c r="O57" s="21" t="n">
        <f aca="false">+O$8</f>
        <v>46886.7911670761</v>
      </c>
      <c r="P57" s="21" t="n">
        <f aca="false">+P$8</f>
        <v>47472.8760566645</v>
      </c>
      <c r="Q57" s="28" t="n">
        <f aca="false">+Q$8</f>
        <v>48066.2870073728</v>
      </c>
    </row>
    <row r="58" customFormat="false" ht="12.75" hidden="false" customHeight="false" outlineLevel="0" collapsed="false">
      <c r="A58" s="13"/>
      <c r="B58" s="5"/>
      <c r="C58" s="36"/>
      <c r="D58" s="59"/>
      <c r="E58" s="5"/>
      <c r="F58" s="5"/>
      <c r="G58" s="5"/>
      <c r="H58" s="5"/>
      <c r="I58" s="5"/>
      <c r="J58" s="5"/>
      <c r="K58" s="5"/>
      <c r="L58" s="5"/>
      <c r="M58" s="5"/>
      <c r="N58" s="21" t="n">
        <v>0</v>
      </c>
      <c r="O58" s="21" t="n">
        <f aca="false">+O$8</f>
        <v>46886.7911670761</v>
      </c>
      <c r="P58" s="21" t="n">
        <f aca="false">+P$8</f>
        <v>47472.8760566645</v>
      </c>
      <c r="Q58" s="28" t="n">
        <f aca="false">+Q$8</f>
        <v>48066.2870073728</v>
      </c>
    </row>
    <row r="59" customFormat="false" ht="12.75" hidden="false" customHeight="false" outlineLevel="0" collapsed="false">
      <c r="A59" s="13"/>
      <c r="B59" s="5"/>
      <c r="C59" s="36"/>
      <c r="D59" s="59"/>
      <c r="E59" s="5"/>
      <c r="F59" s="5"/>
      <c r="G59" s="5"/>
      <c r="H59" s="5"/>
      <c r="I59" s="5"/>
      <c r="J59" s="5"/>
      <c r="K59" s="5"/>
      <c r="L59" s="5"/>
      <c r="M59" s="5"/>
      <c r="N59" s="5"/>
      <c r="O59" s="21" t="n">
        <v>0</v>
      </c>
      <c r="P59" s="21" t="n">
        <f aca="false">+P$8</f>
        <v>47472.8760566645</v>
      </c>
      <c r="Q59" s="28" t="n">
        <f aca="false">+Q$8</f>
        <v>48066.2870073728</v>
      </c>
    </row>
    <row r="60" customFormat="false" ht="12.75" hidden="false" customHeight="false" outlineLevel="0" collapsed="false">
      <c r="A60" s="15"/>
      <c r="B60" s="16"/>
      <c r="C60" s="88"/>
      <c r="D60" s="18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51" t="n">
        <v>0</v>
      </c>
      <c r="Q60" s="52" t="n">
        <f aca="false">+Q8</f>
        <v>48066.2870073728</v>
      </c>
    </row>
    <row r="61" customFormat="false" ht="12.75" hidden="false" customHeight="false" outlineLevel="0" collapsed="false">
      <c r="C61" s="36"/>
      <c r="D61" s="59"/>
      <c r="P61" s="46"/>
      <c r="Q61" s="46"/>
    </row>
    <row r="63" customFormat="false" ht="12.75" hidden="false" customHeight="false" outlineLevel="0" collapsed="false">
      <c r="B63" s="0" t="s">
        <v>78</v>
      </c>
      <c r="C63" s="36"/>
      <c r="D63" s="59"/>
    </row>
    <row r="64" customFormat="false" ht="12.75" hidden="false" customHeight="false" outlineLevel="0" collapsed="false">
      <c r="B64" s="0" t="s">
        <v>79</v>
      </c>
      <c r="C64" s="36"/>
      <c r="D64" s="59"/>
      <c r="E64" s="59" t="n">
        <f aca="false">XNPV($D$12,E$49:Q$49,E$6:Q$6)</f>
        <v>448594.069523756</v>
      </c>
      <c r="F64" s="59" t="n">
        <f aca="false">XNPV($D$12,F$50:Q$50,F$6:Q$6)</f>
        <v>439818.895753188</v>
      </c>
      <c r="G64" s="59" t="n">
        <f aca="false">XNPV($D$12,G$51:Q$51,G$6:Q$6)</f>
        <v>406505.122796644</v>
      </c>
      <c r="H64" s="59" t="n">
        <f aca="false">XNPV($D$12,H$52:Q$52,H$6:Q$6)</f>
        <v>371690.459883668</v>
      </c>
      <c r="I64" s="59" t="n">
        <f aca="false">XNPV($D$12,I$53:Q$53,I$6:Q$6)</f>
        <v>335893.371301354</v>
      </c>
      <c r="J64" s="59" t="n">
        <f aca="false">XNPV($D$12,J$54:Q$54,J$6:Q$6)</f>
        <v>298808.591242973</v>
      </c>
      <c r="K64" s="59" t="n">
        <f aca="false">XNPV($D$12,K$55:Q$55,K$6:Q$6)</f>
        <v>260402.567415856</v>
      </c>
      <c r="L64" s="59" t="n">
        <f aca="false">XNPV($D$12,L$56:Q$56,L$6:Q$6)</f>
        <v>220462.792449956</v>
      </c>
      <c r="M64" s="59" t="n">
        <f aca="false">XNPV($D$12,M$57:Q$57,M$6:Q$6)</f>
        <v>179306.777009567</v>
      </c>
      <c r="N64" s="59" t="n">
        <f aca="false">XNPV($D$12,N$58:Q$58,N$6:Q$6)</f>
        <v>136724.022022611</v>
      </c>
      <c r="O64" s="59" t="n">
        <f aca="false">XNPV($D$12,O$59:Q$59,O$6:Q$6)</f>
        <v>92677.7399825757</v>
      </c>
      <c r="P64" s="59" t="n">
        <f aca="false">XNPV($D$12,P$60:Q$60,P$6:Q$6)</f>
        <v>47088.0103218658</v>
      </c>
      <c r="Q64" s="59" t="n">
        <v>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V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4" min="4" style="0" width="12.85"/>
    <col collapsed="false" customWidth="true" hidden="false" outlineLevel="0" max="5" min="5" style="0" width="11.99"/>
    <col collapsed="false" customWidth="true" hidden="false" outlineLevel="0" max="6" min="6" style="0" width="12.56"/>
    <col collapsed="false" customWidth="true" hidden="false" outlineLevel="0" max="9" min="7" style="0" width="12.28"/>
    <col collapsed="false" customWidth="true" hidden="false" outlineLevel="0" max="32" min="10" style="0" width="12.85"/>
    <col collapsed="false" customWidth="true" hidden="false" outlineLevel="0" max="51" min="33" style="0" width="11.7"/>
  </cols>
  <sheetData>
    <row r="1" customFormat="false" ht="18" hidden="false" customHeight="false" outlineLevel="0" collapsed="false">
      <c r="A1" s="89" t="s">
        <v>80</v>
      </c>
    </row>
    <row r="4" customFormat="false" ht="12.75" hidden="false" customHeight="false" outlineLevel="0" collapsed="false">
      <c r="A4" s="0" t="s">
        <v>81</v>
      </c>
      <c r="D4" s="76" t="n">
        <f aca="false">+Summary!G6</f>
        <v>36875</v>
      </c>
      <c r="E4" s="76" t="n">
        <v>37026</v>
      </c>
      <c r="F4" s="76" t="n">
        <v>37118</v>
      </c>
      <c r="G4" s="76" t="n">
        <v>37210</v>
      </c>
      <c r="H4" s="76" t="n">
        <v>37302</v>
      </c>
      <c r="I4" s="76" t="n">
        <v>37391</v>
      </c>
      <c r="J4" s="76" t="n">
        <v>37483</v>
      </c>
      <c r="K4" s="76" t="n">
        <v>37575</v>
      </c>
      <c r="L4" s="76" t="n">
        <v>37667</v>
      </c>
      <c r="M4" s="76" t="n">
        <v>37756</v>
      </c>
      <c r="N4" s="76" t="n">
        <v>37848</v>
      </c>
      <c r="O4" s="76" t="n">
        <v>37940</v>
      </c>
      <c r="P4" s="76" t="n">
        <v>38032</v>
      </c>
      <c r="Q4" s="76" t="n">
        <v>38122</v>
      </c>
      <c r="R4" s="76" t="n">
        <v>38214</v>
      </c>
      <c r="S4" s="76" t="n">
        <v>38306</v>
      </c>
      <c r="T4" s="76" t="n">
        <v>38398</v>
      </c>
      <c r="U4" s="76" t="n">
        <v>38487</v>
      </c>
      <c r="V4" s="76" t="n">
        <v>38579</v>
      </c>
      <c r="W4" s="76" t="n">
        <v>38671</v>
      </c>
      <c r="X4" s="76" t="n">
        <v>38763</v>
      </c>
      <c r="Y4" s="76" t="n">
        <v>38852</v>
      </c>
      <c r="Z4" s="76" t="n">
        <v>38944</v>
      </c>
      <c r="AA4" s="76" t="n">
        <v>39036</v>
      </c>
      <c r="AB4" s="76" t="n">
        <v>39128</v>
      </c>
      <c r="AC4" s="76" t="n">
        <v>39217</v>
      </c>
      <c r="AD4" s="76" t="n">
        <v>39309</v>
      </c>
      <c r="AE4" s="76" t="n">
        <v>39401</v>
      </c>
      <c r="AF4" s="76" t="n">
        <v>39493</v>
      </c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</row>
    <row r="5" customFormat="false" ht="12.75" hidden="false" customHeight="false" outlineLevel="0" collapsed="false"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</row>
    <row r="6" customFormat="false" ht="12.75" hidden="false" customHeight="false" outlineLevel="0" collapsed="false">
      <c r="A6" s="0" t="s">
        <v>82</v>
      </c>
      <c r="D6" s="59" t="n">
        <v>0</v>
      </c>
      <c r="E6" s="59" t="n">
        <f aca="false">+Summary!G14*1000</f>
        <v>14275208.8658946</v>
      </c>
      <c r="F6" s="59" t="n">
        <f aca="false">E6*(1.0125)</f>
        <v>14453648.9767183</v>
      </c>
      <c r="G6" s="59" t="n">
        <f aca="false">F6*(1.0125)</f>
        <v>14634319.5889273</v>
      </c>
      <c r="H6" s="59" t="n">
        <f aca="false">G6*(1.0125)</f>
        <v>14817248.5837889</v>
      </c>
      <c r="I6" s="59" t="n">
        <f aca="false">H6*(1.0125)</f>
        <v>15002464.1910862</v>
      </c>
      <c r="J6" s="59" t="n">
        <f aca="false">I6*(1.0125)</f>
        <v>15189994.9934748</v>
      </c>
      <c r="K6" s="59" t="n">
        <f aca="false">J6*(1.0125)</f>
        <v>15379869.9308932</v>
      </c>
      <c r="L6" s="59" t="n">
        <f aca="false">K6*(1.0125)</f>
        <v>15572118.3050294</v>
      </c>
      <c r="M6" s="59" t="n">
        <f aca="false">L6*(1.0125)</f>
        <v>15766769.7838423</v>
      </c>
      <c r="N6" s="59" t="n">
        <f aca="false">M6*(1.0125)</f>
        <v>15963854.4061403</v>
      </c>
      <c r="O6" s="59" t="n">
        <f aca="false">N6*(1.0125)</f>
        <v>16163402.5862171</v>
      </c>
      <c r="P6" s="59" t="n">
        <f aca="false">O6*(1.0125)</f>
        <v>16365445.1185448</v>
      </c>
      <c r="Q6" s="59" t="n">
        <f aca="false">P6*(1.0125)</f>
        <v>16570013.1825266</v>
      </c>
      <c r="R6" s="59" t="n">
        <f aca="false">Q6*(1.0125)</f>
        <v>16777138.3473082</v>
      </c>
      <c r="S6" s="59" t="n">
        <f aca="false">R6*(1.0125)-0.05</f>
        <v>16986852.5266495</v>
      </c>
      <c r="T6" s="59" t="n">
        <f aca="false">S6*(1.0125)</f>
        <v>17199188.1832326</v>
      </c>
      <c r="U6" s="59" t="n">
        <f aca="false">T6*(1.0125)</f>
        <v>17414178.035523</v>
      </c>
      <c r="V6" s="59" t="n">
        <f aca="false">U6*(1.0125)</f>
        <v>17631855.2609671</v>
      </c>
      <c r="W6" s="59" t="n">
        <f aca="false">V6*(1.0125)</f>
        <v>17852253.4517292</v>
      </c>
      <c r="X6" s="59" t="n">
        <f aca="false">W6*(1.0125)</f>
        <v>18075406.6198758</v>
      </c>
      <c r="Y6" s="59" t="n">
        <f aca="false">X6*(1.0125)</f>
        <v>18301349.2026242</v>
      </c>
      <c r="Z6" s="59" t="n">
        <f aca="false">Y6*(1.0125)</f>
        <v>18530116.067657</v>
      </c>
      <c r="AA6" s="59" t="n">
        <f aca="false">Z6*(1.0125)</f>
        <v>18761742.5185027</v>
      </c>
      <c r="AB6" s="59" t="n">
        <f aca="false">AA6*(1.0125)</f>
        <v>18996264.299984</v>
      </c>
      <c r="AC6" s="59" t="n">
        <f aca="false">AB6*(1.0125)</f>
        <v>19233717.6037338</v>
      </c>
      <c r="AD6" s="59" t="n">
        <f aca="false">AC6*(1.0125)</f>
        <v>19474139.0737805</v>
      </c>
      <c r="AE6" s="59" t="n">
        <f aca="false">AD6*(1.0125)</f>
        <v>19717565.8122027</v>
      </c>
      <c r="AF6" s="59" t="n">
        <f aca="false">AE6*(1.0125)</f>
        <v>19964035.3848553</v>
      </c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</row>
    <row r="7" customFormat="false" ht="12.75" hidden="false" customHeight="false" outlineLevel="0" collapsed="false"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</row>
    <row r="8" customFormat="false" ht="12.75" hidden="false" customHeight="false" outlineLevel="0" collapsed="false">
      <c r="A8" s="0" t="s">
        <v>83</v>
      </c>
      <c r="C8" s="0" t="s">
        <v>84</v>
      </c>
      <c r="D8" s="90" t="n">
        <f aca="false">+Summary!G5</f>
        <v>0.085</v>
      </c>
      <c r="E8" s="59" t="n">
        <f aca="false">XNPV($D$8,D6:AF6,D4:AF4)</f>
        <v>347599999.999999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</row>
    <row r="9" customFormat="false" ht="12.75" hidden="false" customHeight="false" outlineLevel="0" collapsed="false">
      <c r="D9" s="91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</row>
    <row r="10" customFormat="false" ht="12.75" hidden="false" customHeight="false" outlineLevel="0" collapsed="false">
      <c r="A10" s="0" t="s">
        <v>85</v>
      </c>
      <c r="D10" s="90" t="n">
        <f aca="false">LOOKUP(D8,D22:E28)</f>
        <v>0.0824806721277564</v>
      </c>
    </row>
    <row r="11" customFormat="false" ht="12.75" hidden="false" customHeight="false" outlineLevel="0" collapsed="false">
      <c r="A11" s="0" t="s">
        <v>86</v>
      </c>
      <c r="E11" s="59" t="n">
        <f aca="false">LOOKUP(D8,Summary!L12:R13)*1000</f>
        <v>347599999.999999</v>
      </c>
      <c r="F11" s="46" t="n">
        <f aca="false">+E16</f>
        <v>345185647.370742</v>
      </c>
      <c r="G11" s="46" t="n">
        <f aca="false">+F16</f>
        <v>337908286.796126</v>
      </c>
      <c r="H11" s="46" t="n">
        <f aca="false">+G16</f>
        <v>330298961.838291</v>
      </c>
      <c r="I11" s="46" t="n">
        <f aca="false">+H16</f>
        <v>322348512.69162</v>
      </c>
      <c r="J11" s="46" t="n">
        <f aca="false">+I16</f>
        <v>313829033.313604</v>
      </c>
      <c r="K11" s="46" t="n">
        <f aca="false">+J16</f>
        <v>305163433.726386</v>
      </c>
      <c r="L11" s="46" t="n">
        <f aca="false">+K16</f>
        <v>296127804.429126</v>
      </c>
      <c r="M11" s="46" t="n">
        <f aca="false">+L16</f>
        <v>286712079.197364</v>
      </c>
      <c r="N11" s="46" t="n">
        <f aca="false">+M16</f>
        <v>276711584.057198</v>
      </c>
      <c r="O11" s="46" t="n">
        <f aca="false">+N16</f>
        <v>266500466.320506</v>
      </c>
      <c r="P11" s="46" t="n">
        <f aca="false">+O16</f>
        <v>255877514.851472</v>
      </c>
      <c r="Q11" s="46" t="n">
        <f aca="false">+P16</f>
        <v>244831673.419159</v>
      </c>
      <c r="R11" s="46" t="n">
        <f aca="false">+Q16</f>
        <v>233240973.355426</v>
      </c>
      <c r="S11" s="46" t="n">
        <f aca="false">+R16</f>
        <v>221312832.945126</v>
      </c>
      <c r="T11" s="46" t="n">
        <f aca="false">+S16</f>
        <v>208926996.504742</v>
      </c>
      <c r="U11" s="46" t="n">
        <f aca="false">+T16</f>
        <v>196071327.217278</v>
      </c>
      <c r="V11" s="46" t="n">
        <f aca="false">+U16</f>
        <v>182600481.899546</v>
      </c>
      <c r="W11" s="46" t="n">
        <f aca="false">+V16</f>
        <v>168764826.539865</v>
      </c>
      <c r="X11" s="46" t="n">
        <f aca="false">+W16</f>
        <v>154421134.572675</v>
      </c>
      <c r="Y11" s="46" t="n">
        <f aca="false">+X16</f>
        <v>139556089.117912</v>
      </c>
      <c r="Z11" s="46" t="n">
        <f aca="false">+Y16</f>
        <v>124061453.67602</v>
      </c>
      <c r="AA11" s="46" t="n">
        <f aca="false">+Z16</f>
        <v>108110531.667978</v>
      </c>
      <c r="AB11" s="46" t="n">
        <f aca="false">+AA16</f>
        <v>91596369.1414696</v>
      </c>
      <c r="AC11" s="46" t="n">
        <f aca="false">+AB16</f>
        <v>74504361.1932528</v>
      </c>
      <c r="AD11" s="46" t="n">
        <f aca="false">+AC16</f>
        <v>56769054.8528135</v>
      </c>
      <c r="AE11" s="46" t="n">
        <f aca="false">+AD16</f>
        <v>38475124.4958254</v>
      </c>
      <c r="AF11" s="46" t="n">
        <f aca="false">+AE16</f>
        <v>19557443.011931</v>
      </c>
    </row>
    <row r="12" customFormat="false" ht="12.75" hidden="false" customHeight="false" outlineLevel="0" collapsed="false">
      <c r="A12" s="0" t="s">
        <v>54</v>
      </c>
      <c r="E12" s="59" t="n">
        <f aca="false">+E11*$D$10*(E4-D4)/365</f>
        <v>11860856.2366378</v>
      </c>
      <c r="F12" s="59" t="n">
        <f aca="false">+F11*$D$10*(F4-E4)/365</f>
        <v>7176288.40210247</v>
      </c>
      <c r="G12" s="59" t="n">
        <f aca="false">+G11*$D$10*(G4-F4)/365</f>
        <v>7024994.63109164</v>
      </c>
      <c r="H12" s="59" t="n">
        <f aca="false">+H11*$D$10*(H4-G4)/365</f>
        <v>6866799.43711796</v>
      </c>
      <c r="I12" s="59" t="n">
        <f aca="false">+I11*$D$10*(I4-H4)/365</f>
        <v>6482984.81307035</v>
      </c>
      <c r="J12" s="59" t="n">
        <f aca="false">+J11*$D$10*(J4-I4)/365</f>
        <v>6524395.40625679</v>
      </c>
      <c r="K12" s="59" t="n">
        <f aca="false">+K11*$D$10*(K4-J4)/365</f>
        <v>6344240.63363316</v>
      </c>
      <c r="L12" s="59" t="n">
        <f aca="false">+L11*$D$10*(L4-K4)/365</f>
        <v>6156393.07326811</v>
      </c>
      <c r="M12" s="59" t="n">
        <f aca="false">+M11*$D$10*(M4-L4)/365</f>
        <v>5766274.64367593</v>
      </c>
      <c r="N12" s="59" t="n">
        <f aca="false">+N11*$D$10*(N4-M4)/365</f>
        <v>5752736.66944875</v>
      </c>
      <c r="O12" s="59" t="n">
        <f aca="false">+O11*$D$10*(O4-N4)/365</f>
        <v>5540451.11718296</v>
      </c>
      <c r="P12" s="59" t="n">
        <f aca="false">+P11*$D$10*(P4-O4)/365</f>
        <v>5319603.68623097</v>
      </c>
      <c r="Q12" s="59" t="n">
        <f aca="false">+Q11*$D$10*(Q4-P4)/365</f>
        <v>4979313.11879397</v>
      </c>
      <c r="R12" s="59" t="n">
        <f aca="false">+R11*$D$10*(R4-Q4)/365</f>
        <v>4848997.93700839</v>
      </c>
      <c r="S12" s="59" t="n">
        <f aca="false">+S11*$D$10*(S4-R4)/365</f>
        <v>4601016.08626491</v>
      </c>
      <c r="T12" s="59" t="n">
        <f aca="false">+T11*$D$10*(T4-S4)/365</f>
        <v>4343518.89576902</v>
      </c>
      <c r="U12" s="59" t="n">
        <f aca="false">+U11*$D$10*(U4-T4)/365</f>
        <v>3943332.71779109</v>
      </c>
      <c r="V12" s="59" t="n">
        <f aca="false">+V11*$D$10*(V4-U4)/365</f>
        <v>3796199.90128565</v>
      </c>
      <c r="W12" s="59" t="n">
        <f aca="false">+W11*$D$10*(W4-V4)/365</f>
        <v>3508561.48453963</v>
      </c>
      <c r="X12" s="59" t="n">
        <f aca="false">+X11*$D$10*(X4-W4)/365</f>
        <v>3210361.16511292</v>
      </c>
      <c r="Y12" s="59" t="n">
        <f aca="false">+Y11*$D$10*(Y4-X4)/365</f>
        <v>2806713.76073155</v>
      </c>
      <c r="Z12" s="59" t="n">
        <f aca="false">+Z11*$D$10*(Z4-Y4)/365</f>
        <v>2579194.05961563</v>
      </c>
      <c r="AA12" s="59" t="n">
        <f aca="false">+AA11*$D$10*(AA4-Z4)/365</f>
        <v>2247579.99199419</v>
      </c>
      <c r="AB12" s="59" t="n">
        <f aca="false">+AB11*$D$10*(AB4-AA4)/365</f>
        <v>1904256.35176725</v>
      </c>
      <c r="AC12" s="59" t="n">
        <f aca="false">+AC11*$D$10*(AC4-AB4)/365</f>
        <v>1498411.26329454</v>
      </c>
      <c r="AD12" s="59" t="n">
        <f aca="false">+AD11*$D$10*(AD4-AC4)/365</f>
        <v>1180208.71679236</v>
      </c>
      <c r="AE12" s="59" t="n">
        <f aca="false">+AE11*$D$10*(AE4-AD4)/365</f>
        <v>799884.328308383</v>
      </c>
      <c r="AF12" s="59" t="n">
        <f aca="false">+AF11*$D$10*(AF4-AE4)/365</f>
        <v>406592.372916826</v>
      </c>
    </row>
    <row r="13" customFormat="false" ht="15" hidden="false" customHeight="false" outlineLevel="0" collapsed="false">
      <c r="A13" s="0" t="s">
        <v>53</v>
      </c>
      <c r="E13" s="43" t="n">
        <f aca="false">+E6-E12</f>
        <v>2414352.62925679</v>
      </c>
      <c r="F13" s="43" t="n">
        <f aca="false">+F6-F12</f>
        <v>7277360.57461583</v>
      </c>
      <c r="G13" s="43" t="n">
        <f aca="false">+G6-G12</f>
        <v>7609324.95783564</v>
      </c>
      <c r="H13" s="43" t="n">
        <f aca="false">+H6-H12</f>
        <v>7950449.14667091</v>
      </c>
      <c r="I13" s="43" t="n">
        <f aca="false">+I6-I12</f>
        <v>8519479.37801588</v>
      </c>
      <c r="J13" s="43" t="n">
        <f aca="false">+J6-J12</f>
        <v>8665599.58721802</v>
      </c>
      <c r="K13" s="43" t="n">
        <f aca="false">+K6-K12</f>
        <v>9035629.29726009</v>
      </c>
      <c r="L13" s="43" t="n">
        <f aca="false">+L6-L12</f>
        <v>9415725.2317613</v>
      </c>
      <c r="M13" s="43" t="n">
        <f aca="false">+M6-M12</f>
        <v>10000495.1401663</v>
      </c>
      <c r="N13" s="43" t="n">
        <f aca="false">+N6-N12</f>
        <v>10211117.7366916</v>
      </c>
      <c r="O13" s="43" t="n">
        <f aca="false">+O6-O12</f>
        <v>10622951.4690341</v>
      </c>
      <c r="P13" s="43" t="n">
        <f aca="false">+P6-P12</f>
        <v>11045841.4323138</v>
      </c>
      <c r="Q13" s="43" t="n">
        <f aca="false">+Q6-Q12</f>
        <v>11590700.0637326</v>
      </c>
      <c r="R13" s="43" t="n">
        <f aca="false">+R6-R12</f>
        <v>11928140.4102998</v>
      </c>
      <c r="S13" s="43" t="n">
        <f aca="false">+S6-S12</f>
        <v>12385836.4403846</v>
      </c>
      <c r="T13" s="43" t="n">
        <f aca="false">+T6-T12</f>
        <v>12855669.2874636</v>
      </c>
      <c r="U13" s="43" t="n">
        <f aca="false">+U6-U12</f>
        <v>13470845.3177319</v>
      </c>
      <c r="V13" s="43" t="n">
        <f aca="false">+V6-V12</f>
        <v>13835655.3596814</v>
      </c>
      <c r="W13" s="43" t="n">
        <f aca="false">+W6-W12</f>
        <v>14343691.9671895</v>
      </c>
      <c r="X13" s="43" t="n">
        <f aca="false">+X6-X12</f>
        <v>14865045.4547629</v>
      </c>
      <c r="Y13" s="43" t="n">
        <f aca="false">+Y6-Y12</f>
        <v>15494635.4418927</v>
      </c>
      <c r="Z13" s="43" t="n">
        <f aca="false">+Z6-Z12</f>
        <v>15950922.0080414</v>
      </c>
      <c r="AA13" s="43" t="n">
        <f aca="false">+AA6-AA12</f>
        <v>16514162.5265085</v>
      </c>
      <c r="AB13" s="43" t="n">
        <f aca="false">+AB6-AB12</f>
        <v>17092007.9482168</v>
      </c>
      <c r="AC13" s="43" t="n">
        <f aca="false">+AC6-AC12</f>
        <v>17735306.3404393</v>
      </c>
      <c r="AD13" s="43" t="n">
        <f aca="false">+AD6-AD12</f>
        <v>18293930.3569881</v>
      </c>
      <c r="AE13" s="43" t="n">
        <f aca="false">+AE6-AE12</f>
        <v>18917681.4838944</v>
      </c>
      <c r="AF13" s="43" t="n">
        <f aca="false">+AF6-AF12</f>
        <v>19557443.0119385</v>
      </c>
    </row>
    <row r="14" customFormat="false" ht="12.75" hidden="false" customHeight="false" outlineLevel="0" collapsed="false">
      <c r="A14" s="0" t="s">
        <v>50</v>
      </c>
      <c r="E14" s="46" t="n">
        <f aca="false">+E12+E13</f>
        <v>14275208.8658946</v>
      </c>
      <c r="F14" s="46" t="n">
        <f aca="false">+F12+F13</f>
        <v>14453648.9767183</v>
      </c>
      <c r="G14" s="46" t="n">
        <f aca="false">+G12+G13</f>
        <v>14634319.5889273</v>
      </c>
      <c r="H14" s="46" t="n">
        <f aca="false">+H12+H13</f>
        <v>14817248.5837889</v>
      </c>
      <c r="I14" s="46" t="n">
        <f aca="false">+I12+I13</f>
        <v>15002464.1910862</v>
      </c>
      <c r="J14" s="46" t="n">
        <f aca="false">+J12+J13</f>
        <v>15189994.9934748</v>
      </c>
      <c r="K14" s="46" t="n">
        <f aca="false">+K12+K13</f>
        <v>15379869.9308932</v>
      </c>
      <c r="L14" s="46" t="n">
        <f aca="false">+L12+L13</f>
        <v>15572118.3050294</v>
      </c>
      <c r="M14" s="46" t="n">
        <f aca="false">+M12+M13</f>
        <v>15766769.7838423</v>
      </c>
      <c r="N14" s="46" t="n">
        <f aca="false">+N12+N13</f>
        <v>15963854.4061403</v>
      </c>
      <c r="O14" s="46" t="n">
        <f aca="false">+O12+O13</f>
        <v>16163402.5862171</v>
      </c>
      <c r="P14" s="46" t="n">
        <f aca="false">+P12+P13</f>
        <v>16365445.1185448</v>
      </c>
      <c r="Q14" s="46" t="n">
        <f aca="false">+Q12+Q13</f>
        <v>16570013.1825266</v>
      </c>
      <c r="R14" s="46" t="n">
        <f aca="false">+R12+R13</f>
        <v>16777138.3473082</v>
      </c>
      <c r="S14" s="46" t="n">
        <f aca="false">+S12+S13</f>
        <v>16986852.5266495</v>
      </c>
      <c r="T14" s="46" t="n">
        <f aca="false">+T12+T13</f>
        <v>17199188.1832326</v>
      </c>
      <c r="U14" s="46" t="n">
        <f aca="false">+U12+U13</f>
        <v>17414178.035523</v>
      </c>
      <c r="V14" s="46" t="n">
        <f aca="false">+V12+V13</f>
        <v>17631855.2609671</v>
      </c>
      <c r="W14" s="46" t="n">
        <f aca="false">+W12+W13</f>
        <v>17852253.4517292</v>
      </c>
      <c r="X14" s="46" t="n">
        <f aca="false">+X12+X13</f>
        <v>18075406.6198758</v>
      </c>
      <c r="Y14" s="46" t="n">
        <f aca="false">+Y12+Y13</f>
        <v>18301349.2026242</v>
      </c>
      <c r="Z14" s="46" t="n">
        <f aca="false">+Z12+Z13</f>
        <v>18530116.067657</v>
      </c>
      <c r="AA14" s="46" t="n">
        <f aca="false">+AA12+AA13</f>
        <v>18761742.5185027</v>
      </c>
      <c r="AB14" s="46" t="n">
        <f aca="false">+AB12+AB13</f>
        <v>18996264.299984</v>
      </c>
      <c r="AC14" s="46" t="n">
        <f aca="false">+AC12+AC13</f>
        <v>19233717.6037338</v>
      </c>
      <c r="AD14" s="46" t="n">
        <f aca="false">+AD12+AD13</f>
        <v>19474139.0737805</v>
      </c>
      <c r="AE14" s="46" t="n">
        <f aca="false">+AE12+AE13</f>
        <v>19717565.8122027</v>
      </c>
      <c r="AF14" s="46" t="n">
        <f aca="false">+AF12+AF13</f>
        <v>19964035.3848553</v>
      </c>
    </row>
    <row r="16" customFormat="false" ht="12.75" hidden="false" customHeight="false" outlineLevel="0" collapsed="false">
      <c r="A16" s="0" t="s">
        <v>87</v>
      </c>
      <c r="E16" s="46" t="n">
        <f aca="false">+E11-E13</f>
        <v>345185647.370742</v>
      </c>
      <c r="F16" s="46" t="n">
        <f aca="false">+F11-F13</f>
        <v>337908286.796126</v>
      </c>
      <c r="G16" s="46" t="n">
        <f aca="false">+G11-G13</f>
        <v>330298961.838291</v>
      </c>
      <c r="H16" s="46" t="n">
        <f aca="false">+H11-H13</f>
        <v>322348512.69162</v>
      </c>
      <c r="I16" s="46" t="n">
        <f aca="false">+I11-I13</f>
        <v>313829033.313604</v>
      </c>
      <c r="J16" s="46" t="n">
        <f aca="false">+J11-J13</f>
        <v>305163433.726386</v>
      </c>
      <c r="K16" s="46" t="n">
        <f aca="false">+K11-K13</f>
        <v>296127804.429126</v>
      </c>
      <c r="L16" s="46" t="n">
        <f aca="false">+L11-L13</f>
        <v>286712079.197364</v>
      </c>
      <c r="M16" s="46" t="n">
        <f aca="false">+M11-M13</f>
        <v>276711584.057198</v>
      </c>
      <c r="N16" s="46" t="n">
        <f aca="false">+N11-N13</f>
        <v>266500466.320506</v>
      </c>
      <c r="O16" s="46" t="n">
        <f aca="false">+O11-O13</f>
        <v>255877514.851472</v>
      </c>
      <c r="P16" s="46" t="n">
        <f aca="false">+P11-P13</f>
        <v>244831673.419159</v>
      </c>
      <c r="Q16" s="46" t="n">
        <f aca="false">+Q11-Q13</f>
        <v>233240973.355426</v>
      </c>
      <c r="R16" s="46" t="n">
        <f aca="false">+R11-R13</f>
        <v>221312832.945126</v>
      </c>
      <c r="S16" s="46" t="n">
        <f aca="false">+S11-S13</f>
        <v>208926996.504742</v>
      </c>
      <c r="T16" s="46" t="n">
        <f aca="false">+T11-T13</f>
        <v>196071327.217278</v>
      </c>
      <c r="U16" s="46" t="n">
        <f aca="false">+U11-U13</f>
        <v>182600481.899546</v>
      </c>
      <c r="V16" s="46" t="n">
        <f aca="false">+V11-V13</f>
        <v>168764826.539865</v>
      </c>
      <c r="W16" s="46" t="n">
        <f aca="false">+W11-W13</f>
        <v>154421134.572675</v>
      </c>
      <c r="X16" s="46" t="n">
        <f aca="false">+X11-X13</f>
        <v>139556089.117912</v>
      </c>
      <c r="Y16" s="46" t="n">
        <f aca="false">+Y11-Y13</f>
        <v>124061453.67602</v>
      </c>
      <c r="Z16" s="46" t="n">
        <f aca="false">+Z11-Z13</f>
        <v>108110531.667978</v>
      </c>
      <c r="AA16" s="46" t="n">
        <f aca="false">+AA11-AA13</f>
        <v>91596369.1414696</v>
      </c>
      <c r="AB16" s="46" t="n">
        <f aca="false">+AB11-AB13</f>
        <v>74504361.1932528</v>
      </c>
      <c r="AC16" s="46" t="n">
        <f aca="false">+AC11-AC13</f>
        <v>56769054.8528135</v>
      </c>
      <c r="AD16" s="46" t="n">
        <f aca="false">+AD11-AD13</f>
        <v>38475124.4958254</v>
      </c>
      <c r="AE16" s="46" t="n">
        <f aca="false">+AE11-AE13</f>
        <v>19557443.011931</v>
      </c>
      <c r="AF16" s="46" t="n">
        <f aca="false">+AF11-AF13</f>
        <v>-7.4245035648346E-006</v>
      </c>
    </row>
    <row r="17" customFormat="false" ht="12.75" hidden="false" customHeight="false" outlineLevel="0" collapsed="false">
      <c r="E17" s="59"/>
    </row>
    <row r="18" customFormat="false" ht="12.75" hidden="false" customHeight="false" outlineLevel="0" collapsed="false">
      <c r="D18" s="73"/>
      <c r="E18" s="59"/>
    </row>
    <row r="19" customFormat="false" ht="12.75" hidden="false" customHeight="false" outlineLevel="0" collapsed="false">
      <c r="A19" s="0" t="s">
        <v>88</v>
      </c>
      <c r="C19" s="73" t="n">
        <f aca="false">XIRR(D19:AF19,D4:AF4)</f>
        <v>0.0849999999999998</v>
      </c>
      <c r="D19" s="92" t="n">
        <f aca="false">-E8</f>
        <v>-347599999.999999</v>
      </c>
      <c r="E19" s="59" t="n">
        <f aca="false">+E6</f>
        <v>14275208.8658946</v>
      </c>
      <c r="F19" s="59" t="n">
        <f aca="false">+F6</f>
        <v>14453648.9767183</v>
      </c>
      <c r="G19" s="59" t="n">
        <f aca="false">+G6</f>
        <v>14634319.5889273</v>
      </c>
      <c r="H19" s="59" t="n">
        <f aca="false">+H6</f>
        <v>14817248.5837889</v>
      </c>
      <c r="I19" s="59" t="n">
        <f aca="false">+I6</f>
        <v>15002464.1910862</v>
      </c>
      <c r="J19" s="59" t="n">
        <f aca="false">+J6</f>
        <v>15189994.9934748</v>
      </c>
      <c r="K19" s="59" t="n">
        <f aca="false">+K6</f>
        <v>15379869.9308932</v>
      </c>
      <c r="L19" s="59" t="n">
        <f aca="false">+L6</f>
        <v>15572118.3050294</v>
      </c>
      <c r="M19" s="59" t="n">
        <f aca="false">+M6</f>
        <v>15766769.7838423</v>
      </c>
      <c r="N19" s="59" t="n">
        <f aca="false">+N6</f>
        <v>15963854.4061403</v>
      </c>
      <c r="O19" s="59" t="n">
        <f aca="false">+O6</f>
        <v>16163402.5862171</v>
      </c>
      <c r="P19" s="59" t="n">
        <f aca="false">+P6</f>
        <v>16365445.1185448</v>
      </c>
      <c r="Q19" s="59" t="n">
        <f aca="false">+Q6</f>
        <v>16570013.1825266</v>
      </c>
      <c r="R19" s="59" t="n">
        <f aca="false">+R6</f>
        <v>16777138.3473082</v>
      </c>
      <c r="S19" s="59" t="n">
        <f aca="false">+S6</f>
        <v>16986852.5266495</v>
      </c>
      <c r="T19" s="59" t="n">
        <f aca="false">+T6</f>
        <v>17199188.1832326</v>
      </c>
      <c r="U19" s="59" t="n">
        <f aca="false">+U6</f>
        <v>17414178.035523</v>
      </c>
      <c r="V19" s="59" t="n">
        <f aca="false">+V6</f>
        <v>17631855.2609671</v>
      </c>
      <c r="W19" s="59" t="n">
        <f aca="false">+W6</f>
        <v>17852253.4517292</v>
      </c>
      <c r="X19" s="59" t="n">
        <f aca="false">+X6</f>
        <v>18075406.6198758</v>
      </c>
      <c r="Y19" s="59" t="n">
        <f aca="false">+Y6</f>
        <v>18301349.2026242</v>
      </c>
      <c r="Z19" s="59" t="n">
        <f aca="false">+Z6</f>
        <v>18530116.067657</v>
      </c>
      <c r="AA19" s="59" t="n">
        <f aca="false">+AA6</f>
        <v>18761742.5185027</v>
      </c>
      <c r="AB19" s="59" t="n">
        <f aca="false">+AB6</f>
        <v>18996264.299984</v>
      </c>
      <c r="AC19" s="59" t="n">
        <f aca="false">+AC6</f>
        <v>19233717.6037338</v>
      </c>
      <c r="AD19" s="59" t="n">
        <f aca="false">+AD6</f>
        <v>19474139.0737805</v>
      </c>
      <c r="AE19" s="59" t="n">
        <f aca="false">+AE6</f>
        <v>19717565.8122027</v>
      </c>
      <c r="AF19" s="46" t="n">
        <f aca="false">+AF6</f>
        <v>19964035.3848553</v>
      </c>
    </row>
    <row r="20" customFormat="false" ht="12.75" hidden="false" customHeight="false" outlineLevel="0" collapsed="false">
      <c r="D20" s="73"/>
    </row>
    <row r="21" customFormat="false" ht="12.75" hidden="false" customHeight="false" outlineLevel="0" collapsed="false">
      <c r="E21" s="93"/>
    </row>
    <row r="22" customFormat="false" ht="12.75" hidden="false" customHeight="false" outlineLevel="0" collapsed="false">
      <c r="D22" s="90" t="n">
        <v>0.08</v>
      </c>
      <c r="E22" s="90" t="n">
        <v>0.0777620296939473</v>
      </c>
      <c r="F22" s="59" t="n">
        <v>353546615.823697</v>
      </c>
    </row>
    <row r="23" customFormat="false" ht="12.75" hidden="false" customHeight="false" outlineLevel="0" collapsed="false">
      <c r="D23" s="90" t="n">
        <v>0.0825</v>
      </c>
      <c r="E23" s="90" t="n">
        <v>0.0801233349981538</v>
      </c>
      <c r="F23" s="59" t="n">
        <v>350553455.641385</v>
      </c>
    </row>
    <row r="24" customFormat="false" ht="12.75" hidden="false" customHeight="false" outlineLevel="0" collapsed="false">
      <c r="D24" s="90" t="n">
        <v>0.085</v>
      </c>
      <c r="E24" s="90" t="n">
        <v>0.0824806721277564</v>
      </c>
      <c r="F24" s="59" t="n">
        <v>347599999.999999</v>
      </c>
    </row>
    <row r="25" customFormat="false" ht="12.75" hidden="false" customHeight="false" outlineLevel="0" collapsed="false">
      <c r="D25" s="90" t="n">
        <v>0.0875</v>
      </c>
      <c r="E25" s="90" t="n">
        <v>0.0848340576931075</v>
      </c>
      <c r="F25" s="59" t="n">
        <v>344685585.952973</v>
      </c>
    </row>
    <row r="26" customFormat="false" ht="12.75" hidden="false" customHeight="false" outlineLevel="0" collapsed="false">
      <c r="D26" s="90" t="n">
        <v>0.09</v>
      </c>
      <c r="E26" s="90" t="n">
        <v>0.0871835082027364</v>
      </c>
      <c r="F26" s="59" t="n">
        <v>341809563.576477</v>
      </c>
    </row>
    <row r="27" customFormat="false" ht="12.75" hidden="false" customHeight="false" outlineLevel="0" collapsed="false">
      <c r="D27" s="90" t="n">
        <v>0.0925</v>
      </c>
      <c r="E27" s="90" t="n">
        <v>0.0895290400641726</v>
      </c>
      <c r="F27" s="59" t="n">
        <v>338971295.678416</v>
      </c>
    </row>
    <row r="28" customFormat="false" ht="12.75" hidden="false" customHeight="false" outlineLevel="0" collapsed="false">
      <c r="D28" s="90" t="n">
        <v>0.095</v>
      </c>
      <c r="E28" s="90" t="n">
        <v>0.0918706695849129</v>
      </c>
      <c r="F28" s="59" t="n">
        <v>336170157.514675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2000-09-07T12:08:09Z</dcterms:created>
  <dc:creator>brad alford</dc:creator>
  <dc:description/>
  <dc:language>en-US</dc:language>
  <cp:lastModifiedBy>brad alford</cp:lastModifiedBy>
  <cp:lastPrinted>2000-11-08T20:45:01Z</cp:lastPrinted>
  <dcterms:modified xsi:type="dcterms:W3CDTF">2000-11-06T16:24:42Z</dcterms:modified>
  <cp:revision>0</cp:revision>
  <dc:subject/>
  <dc:title/>
</cp:coreProperties>
</file>