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ket Size" sheetId="1" state="visible" r:id="rId3"/>
    <sheet name="Model Assumptions" sheetId="2" state="visible" r:id="rId4"/>
    <sheet name="Income Statement and Valuation" sheetId="3" state="visible" r:id="rId5"/>
    <sheet name="Balance Sheet" sheetId="4" state="visible" r:id="rId6"/>
    <sheet name="Cash Flows" sheetId="5" state="visible" r:id="rId7"/>
  </sheets>
  <externalReferences>
    <externalReference r:id="rId8"/>
  </externalReferences>
  <definedNames>
    <definedName function="false" hidden="false" localSheetId="3" name="_xlnm.Print_Area" vbProcedure="false">'Balance Sheet'!$A$1:$I$45</definedName>
    <definedName function="false" hidden="false" localSheetId="4" name="_xlnm.Print_Area" vbProcedure="false">'Cash Flows'!$A$1:$I$32</definedName>
    <definedName function="false" hidden="false" localSheetId="2" name="_xlnm.Print_Area" vbProcedure="false">'Income Statement and Valuation'!$A$1:$J$85</definedName>
    <definedName function="false" hidden="false" localSheetId="0" name="_xlnm.Print_Area" vbProcedure="false">'Market Size'!$A$1:$L$81</definedName>
    <definedName function="false" hidden="false" localSheetId="1" name="_xlnm.Print_Area" vbProcedure="false">'Model Assumptions'!$A$1:$N$85</definedName>
    <definedName function="false" hidden="false" name="Page1" vbProcedure="false">#REF!</definedName>
    <definedName function="false" hidden="false" name="Page2" vbProcedure="false">#REF!</definedName>
    <definedName function="false" hidden="false" name="V" vbProcedure="false">#REF!</definedName>
    <definedName function="false" hidden="false" name="VA" vbProcedure="false">#REF!</definedName>
    <definedName function="false" hidden="false" name="VB" vbProcedure="false">#REF!</definedName>
    <definedName function="false" hidden="false" name="VC" vbProcedure="false">#REF!</definedName>
    <definedName function="false" hidden="false" name="VO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equal to 5 year average number of bank syndications during 1995
-1999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38</xdr:colOff>
                <xdr:row>6</xdr:row>
                <xdr:rowOff>3</xdr:rowOff>
              </xdr:from>
              <xdr:to>
                <xdr:col>3</xdr:col>
                <xdr:colOff>61</xdr:colOff>
                <xdr:row>9</xdr:row>
                <xdr:rowOff>18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Leagl Space, Other Capital Markets Deals (bond issuance, equity offerings, webcast hostings, etc.)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12</xdr:rowOff>
              </xdr:from>
              <xdr:to>
                <xdr:col>3</xdr:col>
                <xdr:colOff>39</xdr:colOff>
                <xdr:row>30</xdr:row>
                <xdr:rowOff>3</xdr:rowOff>
              </xdr:to>
            </anchor>
          </commentPr>
        </mc:Choice>
        <mc:Fallback/>
      </mc:AlternateContent>
    </comment>
    <comment ref="B69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periodic site testing and other general operating costs of DealBench platform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67</xdr:row>
                <xdr:rowOff>0</xdr:rowOff>
              </xdr:from>
              <xdr:to>
                <xdr:col>3</xdr:col>
                <xdr:colOff>-29</xdr:colOff>
                <xdr:row>71</xdr:row>
                <xdr:rowOff>16</xdr:rowOff>
              </xdr:to>
            </anchor>
          </commentPr>
        </mc:Choice>
        <mc:Fallback/>
      </mc:AlternateContent>
    </commen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3 help desk and 3 Product Control Group (Sheri Thomas' Group) and 3 Hardware mainenance group (ie, networks and database)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73</xdr:row>
                <xdr:rowOff>20</xdr:rowOff>
              </xdr:from>
              <xdr:to>
                <xdr:col>3</xdr:col>
                <xdr:colOff>-29</xdr:colOff>
                <xdr:row>78</xdr:row>
                <xdr:rowOff>12</xdr:rowOff>
              </xdr:to>
            </anchor>
          </commentPr>
        </mc:Choice>
        <mc:Fallback/>
      </mc:AlternateContent>
    </comment>
    <comment ref="B93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$200k expenses from FileOpen (or alternative dataroom security technology) and $300k expenses from Digital Signature Room and estimate for other software "plugin" expenditures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89</xdr:row>
                <xdr:rowOff>20</xdr:rowOff>
              </xdr:from>
              <xdr:to>
                <xdr:col>3</xdr:col>
                <xdr:colOff>20</xdr:colOff>
                <xdr:row>98</xdr:row>
                <xdr:rowOff>6</xdr:rowOff>
              </xdr:to>
            </anchor>
          </commentPr>
        </mc:Choice>
        <mc:Fallback/>
      </mc:AlternateContent>
    </comment>
    <comment ref="B94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2"/>
          </rPr>
          <t xml:space="preserve">Placeholder for unforeseen investment that can be amortized over certain period of time (3 years = initial guess)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91</xdr:row>
                <xdr:rowOff>7</xdr:rowOff>
              </xdr:from>
              <xdr:to>
                <xdr:col>3</xdr:col>
                <xdr:colOff>1</xdr:colOff>
                <xdr:row>95</xdr:row>
                <xdr:rowOff>16</xdr:rowOff>
              </xdr:to>
            </anchor>
          </commentPr>
        </mc:Choice>
        <mc:Fallback/>
      </mc:AlternateContent>
    </comment>
    <comment ref="C79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 1VP, 2Dir,  an Associates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76</xdr:row>
                <xdr:rowOff>0</xdr:rowOff>
              </xdr:from>
              <xdr:to>
                <xdr:col>4</xdr:col>
                <xdr:colOff>98</xdr:colOff>
                <xdr:row>82</xdr:row>
                <xdr:rowOff>8</xdr:rowOff>
              </xdr:to>
            </anchor>
          </commentPr>
        </mc:Choice>
        <mc:Fallback/>
      </mc:AlternateContent>
    </comment>
    <comment ref="C82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Includes legal, consulting and accounting services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79</xdr:row>
                <xdr:rowOff>9</xdr:rowOff>
              </xdr:from>
              <xdr:to>
                <xdr:col>4</xdr:col>
                <xdr:colOff>98</xdr:colOff>
                <xdr:row>83</xdr:row>
                <xdr:rowOff>13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5-year average = 4453
5-year max = 5500
5-year min = 3500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89</xdr:colOff>
                <xdr:row>6</xdr:row>
                <xdr:rowOff>12</xdr:rowOff>
              </xdr:from>
              <xdr:to>
                <xdr:col>8</xdr:col>
                <xdr:colOff>6</xdr:colOff>
                <xdr:row>11</xdr:row>
                <xdr:rowOff>5</xdr:rowOff>
              </xdr:to>
            </anchor>
          </commentPr>
        </mc:Choice>
        <mc:Fallback/>
      </mc:AlternateContent>
    </comment>
    <comment ref="F63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assumes $100,000 per marketing professional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</xdr:colOff>
                <xdr:row>59</xdr:row>
                <xdr:rowOff>14</xdr:rowOff>
              </xdr:from>
              <xdr:to>
                <xdr:col>9</xdr:col>
                <xdr:colOff>25</xdr:colOff>
                <xdr:row>66</xdr:row>
                <xdr:rowOff>4</xdr:rowOff>
              </xdr:to>
            </anchor>
          </commentPr>
        </mc:Choice>
        <mc:Fallback/>
      </mc:AlternateContent>
    </comment>
    <comment ref="F64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Assume $200,000 per marketing professional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</xdr:colOff>
                <xdr:row>62</xdr:row>
                <xdr:rowOff>5</xdr:rowOff>
              </xdr:from>
              <xdr:to>
                <xdr:col>9</xdr:col>
                <xdr:colOff>21</xdr:colOff>
                <xdr:row>66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8"/>
            <color rgb="FF000000"/>
            <rFont val="Tahoma"/>
            <family val="0"/>
          </rPr>
          <t xml:space="preserve">Jeffrey M. Bartlett:
</t>
        </r>
        <r>
          <rPr>
            <sz val="8"/>
            <color rgb="FF000000"/>
            <rFont val="Tahoma"/>
            <family val="0"/>
          </rPr>
          <t xml:space="preserve">Cost of programmers that add incremental features and customize solutions for revenue-generating customers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14</xdr:row>
                <xdr:rowOff>16</xdr:rowOff>
              </xdr:from>
              <xdr:to>
                <xdr:col>3</xdr:col>
                <xdr:colOff>148</xdr:colOff>
                <xdr:row>20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<sst xmlns="http://schemas.openxmlformats.org/spreadsheetml/2006/main" count="295" uniqueCount="231">
  <si>
    <t xml:space="preserve">Overview of Market Size of Certain Domains</t>
  </si>
  <si>
    <t xml:space="preserve">(Excluding MBS/ABS)</t>
  </si>
  <si>
    <t xml:space="preserve">Comments (Assumptions)</t>
  </si>
  <si>
    <t xml:space="preserve">Bank Products</t>
  </si>
  <si>
    <t xml:space="preserve">Domestic</t>
  </si>
  <si>
    <t xml:space="preserve">INTL BONDS</t>
  </si>
  <si>
    <t xml:space="preserve">International</t>
  </si>
  <si>
    <t xml:space="preserve">Total</t>
  </si>
  <si>
    <t xml:space="preserve">Lease Syndication Transactions</t>
  </si>
  <si>
    <t xml:space="preserve">$20B in originated Capital Equipment Leases during 2000</t>
  </si>
  <si>
    <t xml:space="preserve">50% of originated leases are syndicated out by originating institution</t>
  </si>
  <si>
    <t xml:space="preserve">DOM BANK PROD</t>
  </si>
  <si>
    <t xml:space="preserve">Avg. syndication size = $2.5mm (based on discussions w/ Lease Synd. professionals</t>
  </si>
  <si>
    <t xml:space="preserve">International Transactions = 50% of U.S. (banks not as aggressive in other countries)</t>
  </si>
  <si>
    <t xml:space="preserve">Other DealRoom Transactions (Capital Markets, Legal Space, etc.)</t>
  </si>
  <si>
    <t xml:space="preserve">International deals = 50% of domestic deals</t>
  </si>
  <si>
    <t xml:space="preserve">Legal Deals = 500 per year (estimate)</t>
  </si>
  <si>
    <t xml:space="preserve">DataRooms (Mergers &amp; Acquisitions Transactions)</t>
  </si>
  <si>
    <t xml:space="preserve">Source:  see below</t>
  </si>
  <si>
    <t xml:space="preserve">Domestic </t>
  </si>
  <si>
    <t xml:space="preserve">Energy Auction Transactions</t>
  </si>
  <si>
    <t xml:space="preserve">Assumes 2/3 of auctions discussed in research report are domestic &amp; 1/3 are International</t>
  </si>
  <si>
    <t xml:space="preserve">Non-Energy Auction Transactions</t>
  </si>
  <si>
    <t xml:space="preserve">Includes only auctions in the Construction, Engineering and Real Estate arenas</t>
  </si>
  <si>
    <t xml:space="preserve">History of Debt Transactions</t>
  </si>
  <si>
    <t xml:space="preserve">No. of Transactions Per Annum</t>
  </si>
  <si>
    <t xml:space="preserve">Average</t>
  </si>
  <si>
    <t xml:space="preserve">Min</t>
  </si>
  <si>
    <t xml:space="preserve">Max</t>
  </si>
  <si>
    <t xml:space="preserve">Investor Grade Bonds issued in the U.S.</t>
  </si>
  <si>
    <t xml:space="preserve">Public US Convertible</t>
  </si>
  <si>
    <t xml:space="preserve">Public US Non-Convertible</t>
  </si>
  <si>
    <t xml:space="preserve">         Subtotal</t>
  </si>
  <si>
    <t xml:space="preserve">144-A Convertible</t>
  </si>
  <si>
    <t xml:space="preserve">144-A Non-Convertible</t>
  </si>
  <si>
    <t xml:space="preserve">      Subtotal</t>
  </si>
  <si>
    <t xml:space="preserve">Private Convertible</t>
  </si>
  <si>
    <t xml:space="preserve">Private Non-Convertible</t>
  </si>
  <si>
    <t xml:space="preserve">Investor Grade Bonds issued outside the U.S.</t>
  </si>
  <si>
    <t xml:space="preserve">Euro/Foreign Convertible</t>
  </si>
  <si>
    <t xml:space="preserve">Euro/Foreign Non-Convertible</t>
  </si>
  <si>
    <t xml:space="preserve">Sources:</t>
  </si>
  <si>
    <t xml:space="preserve">     Bonds:  Securities Data Corporation</t>
  </si>
  <si>
    <t xml:space="preserve">     Bank Products: Loan Pricing Corporation</t>
  </si>
  <si>
    <t xml:space="preserve">Summary Statistics</t>
  </si>
  <si>
    <t xml:space="preserve">5 year Average</t>
  </si>
  <si>
    <t xml:space="preserve">bond offerings (investor grade)</t>
  </si>
  <si>
    <t xml:space="preserve">m&amp;a transactions (40% of total)</t>
  </si>
  <si>
    <t xml:space="preserve">bank products</t>
  </si>
  <si>
    <t xml:space="preserve">DealBench</t>
  </si>
  <si>
    <t xml:space="preserve">Summary of Model Assumptions</t>
  </si>
  <si>
    <t xml:space="preserve">(US$ in millions unless noted)</t>
  </si>
  <si>
    <t xml:space="preserve">Revenue Details</t>
  </si>
  <si>
    <t xml:space="preserve">Annual</t>
  </si>
  <si>
    <t xml:space="preserve">Revenues:</t>
  </si>
  <si>
    <t xml:space="preserve">Inflator/Deflator</t>
  </si>
  <si>
    <t xml:space="preserve">Number of Bank Syndications</t>
  </si>
  <si>
    <t xml:space="preserve">% Market Share</t>
  </si>
  <si>
    <t xml:space="preserve">Bank Syndication Transactions</t>
  </si>
  <si>
    <t xml:space="preserve">% Growth</t>
  </si>
  <si>
    <t xml:space="preserve">Revenues/Syndication</t>
  </si>
  <si>
    <t xml:space="preserve">    Bank Syndication Revenues</t>
  </si>
  <si>
    <t xml:space="preserve">Number of Lease Syndications</t>
  </si>
  <si>
    <t xml:space="preserve">    Lease Syndication Revenues</t>
  </si>
  <si>
    <t xml:space="preserve">Number of Other DealRoom Transactions</t>
  </si>
  <si>
    <t xml:space="preserve">Other DealRoom Transactions</t>
  </si>
  <si>
    <t xml:space="preserve">Revenues/DealRoom</t>
  </si>
  <si>
    <t xml:space="preserve">Other DealRoom Revenues</t>
  </si>
  <si>
    <t xml:space="preserve">Number of DataRooms Hosted</t>
  </si>
  <si>
    <t xml:space="preserve">Data Room Transactions</t>
  </si>
  <si>
    <t xml:space="preserve">Revenues/Data Room</t>
  </si>
  <si>
    <t xml:space="preserve">    Data Room Revenues</t>
  </si>
  <si>
    <t xml:space="preserve">Number of Energy Auctions</t>
  </si>
  <si>
    <t xml:space="preserve">Auction Transactions</t>
  </si>
  <si>
    <t xml:space="preserve">Revenues/Auction</t>
  </si>
  <si>
    <t xml:space="preserve">    Energy Auction Revenues</t>
  </si>
  <si>
    <t xml:space="preserve">Number of Non-Energy Auctions</t>
  </si>
  <si>
    <t xml:space="preserve">    Non-Energy Auction Revenues</t>
  </si>
  <si>
    <t xml:space="preserve">TOTAL REVENUES</t>
  </si>
  <si>
    <t xml:space="preserve">Expense Details</t>
  </si>
  <si>
    <t xml:space="preserve">Cost Category:</t>
  </si>
  <si>
    <t xml:space="preserve">Marketing Professionals</t>
  </si>
  <si>
    <t xml:space="preserve">Salary per Employee</t>
  </si>
  <si>
    <t xml:space="preserve">    Subtotal - staff salaries</t>
  </si>
  <si>
    <t xml:space="preserve">Travel &amp; Sales Calls</t>
  </si>
  <si>
    <t xml:space="preserve">Promotional Material</t>
  </si>
  <si>
    <t xml:space="preserve">Shows &amp; Conferences</t>
  </si>
  <si>
    <t xml:space="preserve">Advertising</t>
  </si>
  <si>
    <t xml:space="preserve">Total Marketing Costs</t>
  </si>
  <si>
    <t xml:space="preserve">Hardware Maintenance Costs</t>
  </si>
  <si>
    <t xml:space="preserve">Content</t>
  </si>
  <si>
    <t xml:space="preserve">Software Developers</t>
  </si>
  <si>
    <t xml:space="preserve">Salary/Employee</t>
  </si>
  <si>
    <t xml:space="preserve">Total Software Development</t>
  </si>
  <si>
    <t xml:space="preserve">Operations Professionals</t>
  </si>
  <si>
    <t xml:space="preserve">Total Operations Group</t>
  </si>
  <si>
    <t xml:space="preserve">Management Professionals</t>
  </si>
  <si>
    <t xml:space="preserve">Management/Business Development</t>
  </si>
  <si>
    <t xml:space="preserve">Office Expenses (rent,supplies, etc.)</t>
  </si>
  <si>
    <t xml:space="preserve">Legal, Accounting Professionals</t>
  </si>
  <si>
    <t xml:space="preserve">Legal, Consulting and Other Expenses</t>
  </si>
  <si>
    <t xml:space="preserve">Total General &amp; Administrative </t>
  </si>
  <si>
    <t xml:space="preserve">TOTAL COSTS</t>
  </si>
  <si>
    <t xml:space="preserve">Capital Expenditures</t>
  </si>
  <si>
    <t xml:space="preserve">TOTAL</t>
  </si>
  <si>
    <t xml:space="preserve">SLD Amortization</t>
  </si>
  <si>
    <t xml:space="preserve">2001 - 2005</t>
  </si>
  <si>
    <t xml:space="preserve">Itemized CapEx</t>
  </si>
  <si>
    <t xml:space="preserve">Period (# of Years)</t>
  </si>
  <si>
    <t xml:space="preserve">Software Licensing Fees</t>
  </si>
  <si>
    <t xml:space="preserve">Other Platform Development Spending</t>
  </si>
  <si>
    <t xml:space="preserve">Build Auction Control Room</t>
  </si>
  <si>
    <t xml:space="preserve">    Total Capital Expenditures</t>
  </si>
  <si>
    <t xml:space="preserve">Amortization Schedule:</t>
  </si>
  <si>
    <t xml:space="preserve">Amortization of Platform Development</t>
  </si>
  <si>
    <t xml:space="preserve">Amortization of Software Licensing Fees</t>
  </si>
  <si>
    <t xml:space="preserve">Depreciation of Auction Control Room CapEx</t>
  </si>
  <si>
    <t xml:space="preserve">TOTAL Amortization</t>
  </si>
  <si>
    <t xml:space="preserve">TOTAL Depreciation</t>
  </si>
  <si>
    <t xml:space="preserve">    TOTAL Amortization + Depreciation</t>
  </si>
  <si>
    <t xml:space="preserve">Proforma Income Statement and Valuation Summary</t>
  </si>
  <si>
    <t xml:space="preserve">(in millions of Dollars)</t>
  </si>
  <si>
    <t xml:space="preserve">Income Statement</t>
  </si>
  <si>
    <t xml:space="preserve">Years Ended</t>
  </si>
  <si>
    <t xml:space="preserve">Gross Revenues </t>
  </si>
  <si>
    <t xml:space="preserve">DealRooms</t>
  </si>
  <si>
    <t xml:space="preserve">DataRooms</t>
  </si>
  <si>
    <t xml:space="preserve">Auctions</t>
  </si>
  <si>
    <t xml:space="preserve">Total </t>
  </si>
  <si>
    <t xml:space="preserve">Cost of Sales</t>
  </si>
  <si>
    <t xml:space="preserve">Server Maintenance+Operating Costs</t>
  </si>
  <si>
    <t xml:space="preserve">Software Development</t>
  </si>
  <si>
    <t xml:space="preserve">Gross Margin</t>
  </si>
  <si>
    <t xml:space="preserve">Sales and Marketing</t>
  </si>
  <si>
    <t xml:space="preserve">General Administrative Expenses</t>
  </si>
  <si>
    <t xml:space="preserve">EBITDA</t>
  </si>
  <si>
    <t xml:space="preserve">Depreciation of Capital Expenditures</t>
  </si>
  <si>
    <t xml:space="preserve">Amortization of Software Expenses</t>
  </si>
  <si>
    <t xml:space="preserve">Operating Income (EBIT)</t>
  </si>
  <si>
    <t xml:space="preserve">% of Sales</t>
  </si>
  <si>
    <t xml:space="preserve">Interest Expense</t>
  </si>
  <si>
    <t xml:space="preserve">Net income before tax</t>
  </si>
  <si>
    <t xml:space="preserve">Taxes@</t>
  </si>
  <si>
    <t xml:space="preserve">Net income after tax</t>
  </si>
  <si>
    <t xml:space="preserve">Valuation Summary</t>
  </si>
  <si>
    <t xml:space="preserve">Terminal Value Calculation (using Trailing 12mo. P/E Multiple)</t>
  </si>
  <si>
    <t xml:space="preserve">2005 Net Income</t>
  </si>
  <si>
    <t xml:space="preserve">applicable P/E multiple</t>
  </si>
  <si>
    <t xml:space="preserve">Terminal Value</t>
  </si>
  <si>
    <t xml:space="preserve">Unlevered Net Income</t>
  </si>
  <si>
    <t xml:space="preserve">(+) Depreciation</t>
  </si>
  <si>
    <t xml:space="preserve">(+) Amortization</t>
  </si>
  <si>
    <t xml:space="preserve">(-) Capital Expenditures</t>
  </si>
  <si>
    <t xml:space="preserve">(-) Change in Working Investment</t>
  </si>
  <si>
    <t xml:space="preserve">Free Cash Flow to Equity Holders</t>
  </si>
  <si>
    <t xml:space="preserve">Net Present Value @</t>
  </si>
  <si>
    <t xml:space="preserve">Summary Statistics (for DealBench Business Plan presentation)</t>
  </si>
  <si>
    <t xml:space="preserve">DealBench, LLC</t>
  </si>
  <si>
    <t xml:space="preserve">($ in millions unless noted)</t>
  </si>
  <si>
    <t xml:space="preserve">Year Ended December 31,</t>
  </si>
  <si>
    <t xml:space="preserve">Number of Employees</t>
  </si>
  <si>
    <t xml:space="preserve">Correct so this adds Operations, Help Desk, IT Maintenance, Legal, Accounting</t>
  </si>
  <si>
    <t xml:space="preserve">Potential Hosted ASP Market Opportunity</t>
  </si>
  <si>
    <t xml:space="preserve">Number DealRooms hosted</t>
  </si>
  <si>
    <t xml:space="preserve">Market Share, %</t>
  </si>
  <si>
    <t xml:space="preserve">Number of DataRooms hosted</t>
  </si>
  <si>
    <t xml:space="preserve">Number of Auctions hosted</t>
  </si>
  <si>
    <t xml:space="preserve">Revenues</t>
  </si>
  <si>
    <t xml:space="preserve">  Total Revenues</t>
  </si>
  <si>
    <t xml:space="preserve">Growth, %/year</t>
  </si>
  <si>
    <t xml:space="preserve">n.a.</t>
  </si>
  <si>
    <t xml:space="preserve">  EBITDA</t>
  </si>
  <si>
    <t xml:space="preserve">Proforma Balance Sheet</t>
  </si>
  <si>
    <t xml:space="preserve">Balance Sheet</t>
  </si>
  <si>
    <t xml:space="preserve">Year Ended 12/31</t>
  </si>
  <si>
    <t xml:space="preserve">Assets</t>
  </si>
  <si>
    <t xml:space="preserve">     Current assets:</t>
  </si>
  <si>
    <t xml:space="preserve">          Cash and cash equivalents</t>
  </si>
  <si>
    <t xml:space="preserve">          Short-term investments</t>
  </si>
  <si>
    <t xml:space="preserve">          Accounts receivable</t>
  </si>
  <si>
    <t xml:space="preserve">          Prepaid expenses and other assets</t>
  </si>
  <si>
    <t xml:space="preserve">    Total current assets</t>
  </si>
  <si>
    <t xml:space="preserve">     Property and equipment</t>
  </si>
  <si>
    <t xml:space="preserve">         less accumulated depreciation</t>
  </si>
  <si>
    <t xml:space="preserve">     Net Property and equipment </t>
  </si>
  <si>
    <t xml:space="preserve">     Other assets</t>
  </si>
  <si>
    <t xml:space="preserve">Total assets</t>
  </si>
  <si>
    <t xml:space="preserve">Liabilities and Shareholders' Equity (Deficit)</t>
  </si>
  <si>
    <t xml:space="preserve">     Current liabilities:</t>
  </si>
  <si>
    <t xml:space="preserve">          Current portion of long-term debt</t>
  </si>
  <si>
    <t xml:space="preserve">          Line of credit</t>
  </si>
  <si>
    <t xml:space="preserve">          Accounts payable</t>
  </si>
  <si>
    <t xml:space="preserve">          Accrued expenses</t>
  </si>
  <si>
    <t xml:space="preserve">          Deferred revenues</t>
  </si>
  <si>
    <t xml:space="preserve">     Total current liabilities</t>
  </si>
  <si>
    <t xml:space="preserve">          Long-term notes</t>
  </si>
  <si>
    <t xml:space="preserve">    Total liabilities</t>
  </si>
  <si>
    <t xml:space="preserve">Shareholders' Equity:</t>
  </si>
  <si>
    <t xml:space="preserve">          Preferred stock </t>
  </si>
  <si>
    <t xml:space="preserve">          Common stock</t>
  </si>
  <si>
    <t xml:space="preserve">          Retained Earnings</t>
  </si>
  <si>
    <t xml:space="preserve">Beginning balance</t>
  </si>
  <si>
    <t xml:space="preserve">Less:  Dividends</t>
  </si>
  <si>
    <t xml:space="preserve">Ending balance</t>
  </si>
  <si>
    <t xml:space="preserve">     Total shareholders' equity </t>
  </si>
  <si>
    <t xml:space="preserve">Total liabilities and shareholders' equity</t>
  </si>
  <si>
    <t xml:space="preserve">check</t>
  </si>
  <si>
    <t xml:space="preserve">Proforma Cash Flow Statement</t>
  </si>
  <si>
    <t xml:space="preserve">Statement of Cash Flows</t>
  </si>
  <si>
    <t xml:space="preserve">Cash flows from continuing operations</t>
  </si>
  <si>
    <t xml:space="preserve">Depreciation/Amortization</t>
  </si>
  <si>
    <t xml:space="preserve">Changes in working capital</t>
  </si>
  <si>
    <t xml:space="preserve">Cash flows from investments</t>
  </si>
  <si>
    <t xml:space="preserve">Capital expenditures</t>
  </si>
  <si>
    <t xml:space="preserve">Cash flows from financing activities</t>
  </si>
  <si>
    <t xml:space="preserve">Net proceeds from issuance</t>
  </si>
  <si>
    <t xml:space="preserve">of common stock</t>
  </si>
  <si>
    <t xml:space="preserve">Dividends</t>
  </si>
  <si>
    <t xml:space="preserve">Issuance of debt</t>
  </si>
  <si>
    <t xml:space="preserve">Retirement of debt</t>
  </si>
  <si>
    <t xml:space="preserve">Net increase (decrease) in cash balance</t>
  </si>
  <si>
    <t xml:space="preserve">Cash ending balance</t>
  </si>
  <si>
    <t xml:space="preserve">Working capital assumptions</t>
  </si>
  <si>
    <t xml:space="preserve">Days outstanding</t>
  </si>
  <si>
    <t xml:space="preserve">Ending Balances</t>
  </si>
  <si>
    <t xml:space="preserve">Accounts receivable</t>
  </si>
  <si>
    <t xml:space="preserve">Accounts Payable</t>
  </si>
  <si>
    <t xml:space="preserve">A/R</t>
  </si>
  <si>
    <t xml:space="preserve">A/P</t>
  </si>
  <si>
    <t xml:space="preserve">   Net Change</t>
  </si>
  <si>
    <t xml:space="preserve">Accumulated depreciation amortization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</si>
</sst>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_(\$* #,##0.00_);_(\$* \(#,##0.00\);_(\$* \-??_);_(@_)"/>
    <numFmt numFmtId="170" formatCode="_(\$* #,##0_);_(\$* \(#,##0\);_(\$* \-??_);_(@_)"/>
    <numFmt numFmtId="171" formatCode="_(\$* #,##0.0_);_(\$* \(#,##0.0\);_(\$* \-??_);_(@_)"/>
    <numFmt numFmtId="172" formatCode="_(* #,##0.000_);_(* \(#,##0.000\);_(* \-??_);_(@_)"/>
    <numFmt numFmtId="173" formatCode="_(* #,##0.0_);_(* \(#,##0.0\);_(* \-??_);_(@_)"/>
    <numFmt numFmtId="174" formatCode="_(\$* #,##0.000_);_(\$* \(#,##0.000\);_(\$* \-??_);_(@_)"/>
    <numFmt numFmtId="175" formatCode="0.0\x"/>
    <numFmt numFmtId="176" formatCode="[$-409]m/d/yyyy"/>
    <numFmt numFmtId="177" formatCode="0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4"/>
      <color rgb="FFFFFFFF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b val="true"/>
      <u val="single"/>
      <sz val="10"/>
      <color rgb="FF0000FF"/>
      <name val="Arial"/>
      <family val="2"/>
    </font>
    <font>
      <i val="true"/>
      <sz val="9"/>
      <color rgb="FF339966"/>
      <name val="Arial"/>
      <family val="2"/>
    </font>
    <font>
      <i val="true"/>
      <sz val="9"/>
      <name val="Arial"/>
      <family val="2"/>
    </font>
    <font>
      <i val="true"/>
      <sz val="9"/>
      <color rgb="FF0000FF"/>
      <name val="Arial"/>
      <family val="2"/>
    </font>
    <font>
      <i val="true"/>
      <u val="single"/>
      <sz val="9"/>
      <color rgb="FF0000FF"/>
      <name val="Arial"/>
      <family val="2"/>
    </font>
    <font>
      <b val="true"/>
      <i val="true"/>
      <u val="single"/>
      <sz val="9"/>
      <name val="Arial"/>
      <family val="2"/>
    </font>
    <font>
      <i val="true"/>
      <u val="single"/>
      <sz val="9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b val="true"/>
      <i val="true"/>
      <sz val="9"/>
      <name val="Arial"/>
      <family val="2"/>
    </font>
    <font>
      <sz val="8"/>
      <color rgb="FF000000"/>
      <name val="Tahoma"/>
      <family val="2"/>
    </font>
    <font>
      <b val="true"/>
      <sz val="12"/>
      <color rgb="FF000000"/>
      <name val="Arial"/>
      <family val="2"/>
    </font>
    <font>
      <b val="true"/>
      <sz val="12"/>
      <color rgb="FFFFFFFF"/>
      <name val="Arial"/>
      <family val="2"/>
    </font>
    <font>
      <sz val="10"/>
      <color rgb="FF008000"/>
      <name val="Arial"/>
      <family val="2"/>
    </font>
    <font>
      <i val="true"/>
      <sz val="9"/>
      <color rgb="FF008000"/>
      <name val="Arial"/>
      <family val="2"/>
    </font>
    <font>
      <u val="single"/>
      <sz val="10"/>
      <color rgb="FF969696"/>
      <name val="Arial"/>
      <family val="2"/>
    </font>
    <font>
      <sz val="14"/>
      <name val="Arial"/>
      <family val="2"/>
    </font>
    <font>
      <i val="true"/>
      <sz val="8"/>
      <name val="Arial"/>
      <family val="2"/>
    </font>
    <font>
      <i val="true"/>
      <sz val="10"/>
      <color rgb="FF008000"/>
      <name val="Arial"/>
      <family val="2"/>
    </font>
    <font>
      <b val="true"/>
      <i val="true"/>
      <sz val="10"/>
      <color rgb="FF008000"/>
      <name val="Arial"/>
      <family val="2"/>
    </font>
    <font>
      <b val="true"/>
      <sz val="10"/>
      <color rgb="FF808080"/>
      <name val="Arial"/>
      <family val="2"/>
    </font>
    <font>
      <sz val="10"/>
      <color rgb="FF96969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89</xdr:row>
      <xdr:rowOff>0</xdr:rowOff>
    </xdr:from>
    <xdr:to>
      <xdr:col>0</xdr:col>
      <xdr:colOff>110520</xdr:colOff>
      <xdr:row>90</xdr:row>
      <xdr:rowOff>9720</xdr:rowOff>
    </xdr:to>
    <xdr:sp>
      <xdr:nvSpPr>
        <xdr:cNvPr id="0" name="Text 1"/>
        <xdr:cNvSpPr/>
      </xdr:nvSpPr>
      <xdr:spPr>
        <a:xfrm>
          <a:off x="0" y="15021000"/>
          <a:ext cx="1105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np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30.85"/>
    <col collapsed="false" customWidth="true" hidden="false" outlineLevel="0" max="3" min="3" style="0" width="14.99"/>
    <col collapsed="false" customWidth="true" hidden="false" outlineLevel="0" max="4" min="4" style="0" width="15.13"/>
    <col collapsed="false" customWidth="true" hidden="false" outlineLevel="0" max="5" min="5" style="0" width="10.85"/>
    <col collapsed="false" customWidth="true" hidden="false" outlineLevel="0" max="6" min="6" style="0" width="12.7"/>
  </cols>
  <sheetData>
    <row r="1" customFormat="false" ht="18" hidden="false" customHeight="false" outlineLevel="0" collapsed="false">
      <c r="A1" s="1" t="str">
        <f aca="false">'Model Assumptions'!A1</f>
        <v>DealBench</v>
      </c>
      <c r="B1" s="2"/>
      <c r="C1" s="2"/>
      <c r="D1" s="2"/>
      <c r="E1" s="2"/>
      <c r="F1" s="2"/>
      <c r="G1" s="2"/>
      <c r="H1" s="2"/>
      <c r="I1" s="2"/>
      <c r="J1" s="3"/>
    </row>
    <row r="2" customFormat="false" ht="12.75" hidden="false" customHeight="fals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</row>
    <row r="3" customFormat="false" ht="13.5" hidden="false" customHeight="false" outlineLevel="0" collapsed="false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</row>
    <row r="5" customFormat="false" ht="12.75" hidden="false" customHeight="false" outlineLevel="0" collapsed="false">
      <c r="F5" s="10" t="s">
        <v>2</v>
      </c>
    </row>
    <row r="6" customFormat="false" ht="6.75" hidden="false" customHeight="true" outlineLevel="0" collapsed="false"/>
    <row r="7" customFormat="false" ht="15.75" hidden="false" customHeight="false" outlineLevel="0" collapsed="false">
      <c r="A7" s="11" t="s">
        <v>3</v>
      </c>
    </row>
    <row r="8" customFormat="false" ht="12.75" hidden="false" customHeight="false" outlineLevel="0" collapsed="false">
      <c r="B8" s="0" t="s">
        <v>4</v>
      </c>
      <c r="C8" s="12" t="n">
        <v>4423.2</v>
      </c>
      <c r="D8" s="12" t="n">
        <v>5561</v>
      </c>
      <c r="E8" s="12" t="n">
        <v>3494</v>
      </c>
      <c r="AA8" s="0" t="s">
        <v>5</v>
      </c>
      <c r="AB8" s="13" t="n">
        <f aca="false">+C19</f>
        <v>3885.2</v>
      </c>
    </row>
    <row r="9" customFormat="false" ht="15" hidden="false" customHeight="false" outlineLevel="0" collapsed="false">
      <c r="B9" s="0" t="s">
        <v>6</v>
      </c>
      <c r="C9" s="14" t="n">
        <v>6297.6</v>
      </c>
      <c r="D9" s="14" t="n">
        <v>8111</v>
      </c>
      <c r="E9" s="14" t="n">
        <v>4860</v>
      </c>
    </row>
    <row r="10" customFormat="false" ht="13.5" hidden="false" customHeight="false" outlineLevel="0" collapsed="false">
      <c r="A10" s="15" t="s">
        <v>7</v>
      </c>
      <c r="C10" s="16" t="n">
        <f aca="false">C8+C9</f>
        <v>10720.8</v>
      </c>
      <c r="D10" s="16" t="n">
        <f aca="false">D8+D9</f>
        <v>13672</v>
      </c>
      <c r="E10" s="16" t="n">
        <f aca="false">E8+E9</f>
        <v>8354</v>
      </c>
    </row>
    <row r="11" customFormat="false" ht="15.75" hidden="false" customHeight="true" outlineLevel="0" collapsed="false"/>
    <row r="12" customFormat="false" ht="15.75" hidden="false" customHeight="false" outlineLevel="0" collapsed="false">
      <c r="A12" s="11" t="s">
        <v>8</v>
      </c>
      <c r="F12" s="0" t="s">
        <v>9</v>
      </c>
    </row>
    <row r="13" customFormat="false" ht="12.75" hidden="false" customHeight="false" outlineLevel="0" collapsed="false">
      <c r="B13" s="0" t="s">
        <v>4</v>
      </c>
      <c r="C13" s="12" t="n">
        <v>4000</v>
      </c>
      <c r="D13" s="12" t="n">
        <v>5000</v>
      </c>
      <c r="E13" s="12" t="n">
        <v>3000</v>
      </c>
      <c r="F13" s="0" t="s">
        <v>10</v>
      </c>
      <c r="AA13" s="0" t="s">
        <v>11</v>
      </c>
      <c r="AB13" s="13" t="n">
        <f aca="false">+C18</f>
        <v>7270.4</v>
      </c>
    </row>
    <row r="14" customFormat="false" ht="15" hidden="false" customHeight="false" outlineLevel="0" collapsed="false">
      <c r="B14" s="0" t="s">
        <v>6</v>
      </c>
      <c r="C14" s="17" t="n">
        <f aca="false">C13*0.5</f>
        <v>2000</v>
      </c>
      <c r="D14" s="17" t="n">
        <f aca="false">D13*0.5</f>
        <v>2500</v>
      </c>
      <c r="E14" s="17" t="n">
        <f aca="false">E13*0.5</f>
        <v>1500</v>
      </c>
      <c r="F14" s="0" t="s">
        <v>12</v>
      </c>
    </row>
    <row r="15" customFormat="false" ht="13.5" hidden="false" customHeight="false" outlineLevel="0" collapsed="false">
      <c r="A15" s="15" t="s">
        <v>7</v>
      </c>
      <c r="C15" s="16" t="n">
        <f aca="false">C13+C14</f>
        <v>6000</v>
      </c>
      <c r="D15" s="16" t="n">
        <f aca="false">D13+D14</f>
        <v>7500</v>
      </c>
      <c r="E15" s="16" t="n">
        <f aca="false">E13+E14</f>
        <v>4500</v>
      </c>
      <c r="F15" s="0" t="s">
        <v>13</v>
      </c>
    </row>
    <row r="16" customFormat="false" ht="13.5" hidden="false" customHeight="false" outlineLevel="0" collapsed="false"/>
    <row r="17" customFormat="false" ht="15.75" hidden="false" customHeight="false" outlineLevel="0" collapsed="false">
      <c r="A17" s="11" t="s">
        <v>14</v>
      </c>
    </row>
    <row r="18" customFormat="false" ht="12.75" hidden="false" customHeight="false" outlineLevel="0" collapsed="false">
      <c r="B18" s="0" t="s">
        <v>4</v>
      </c>
      <c r="C18" s="12" t="n">
        <f aca="false">D78+500</f>
        <v>7270.4</v>
      </c>
      <c r="D18" s="12" t="n">
        <v>7210</v>
      </c>
      <c r="E18" s="12" t="n">
        <v>2391</v>
      </c>
      <c r="F18" s="0" t="s">
        <v>15</v>
      </c>
      <c r="AA18" s="0" t="s">
        <v>11</v>
      </c>
      <c r="AB18" s="13" t="n">
        <f aca="false">+C8</f>
        <v>4423.2</v>
      </c>
    </row>
    <row r="19" customFormat="false" ht="15" hidden="false" customHeight="false" outlineLevel="0" collapsed="false">
      <c r="B19" s="0" t="s">
        <v>6</v>
      </c>
      <c r="C19" s="14" t="n">
        <f aca="false">0.5*(C18+500)</f>
        <v>3885.2</v>
      </c>
      <c r="D19" s="14" t="n">
        <v>2332</v>
      </c>
      <c r="E19" s="14" t="n">
        <v>1166</v>
      </c>
      <c r="F19" s="0" t="s">
        <v>16</v>
      </c>
    </row>
    <row r="20" customFormat="false" ht="13.5" hidden="false" customHeight="false" outlineLevel="0" collapsed="false">
      <c r="A20" s="15" t="s">
        <v>7</v>
      </c>
      <c r="C20" s="16" t="n">
        <f aca="false">C18+C19</f>
        <v>11155.6</v>
      </c>
      <c r="D20" s="16" t="n">
        <f aca="false">D18+D19</f>
        <v>9542</v>
      </c>
      <c r="E20" s="16" t="n">
        <f aca="false">E18+E19</f>
        <v>3557</v>
      </c>
    </row>
    <row r="21" customFormat="false" ht="13.5" hidden="false" customHeight="false" outlineLevel="0" collapsed="false"/>
    <row r="22" customFormat="false" ht="15.75" hidden="false" customHeight="false" outlineLevel="0" collapsed="false">
      <c r="A22" s="11" t="s">
        <v>17</v>
      </c>
      <c r="F22" s="0" t="s">
        <v>18</v>
      </c>
    </row>
    <row r="23" customFormat="false" ht="12.75" hidden="false" customHeight="false" outlineLevel="0" collapsed="false">
      <c r="B23" s="0" t="s">
        <v>19</v>
      </c>
      <c r="C23" s="12" t="n">
        <v>5045.6</v>
      </c>
      <c r="D23" s="12" t="n">
        <v>7210</v>
      </c>
      <c r="E23" s="12" t="n">
        <v>2391</v>
      </c>
      <c r="AA23" s="0" t="s">
        <v>11</v>
      </c>
      <c r="AB23" s="13" t="n">
        <f aca="false">+C28</f>
        <v>1364.22</v>
      </c>
    </row>
    <row r="24" customFormat="false" ht="15" hidden="false" customHeight="false" outlineLevel="0" collapsed="false">
      <c r="B24" s="0" t="s">
        <v>6</v>
      </c>
      <c r="C24" s="14" t="n">
        <v>1777.4</v>
      </c>
      <c r="D24" s="14" t="n">
        <v>2332</v>
      </c>
      <c r="E24" s="14" t="n">
        <v>1166</v>
      </c>
    </row>
    <row r="25" customFormat="false" ht="13.5" hidden="false" customHeight="false" outlineLevel="0" collapsed="false">
      <c r="A25" s="15" t="s">
        <v>7</v>
      </c>
      <c r="C25" s="16" t="n">
        <f aca="false">C23+C24</f>
        <v>6823</v>
      </c>
      <c r="D25" s="16" t="n">
        <f aca="false">D23+D24</f>
        <v>9542</v>
      </c>
      <c r="E25" s="16" t="n">
        <f aca="false">E23+E24</f>
        <v>3557</v>
      </c>
    </row>
    <row r="26" customFormat="false" ht="13.5" hidden="false" customHeight="false" outlineLevel="0" collapsed="false"/>
    <row r="27" customFormat="false" ht="15.75" hidden="false" customHeight="false" outlineLevel="0" collapsed="false">
      <c r="A27" s="11" t="s">
        <v>20</v>
      </c>
    </row>
    <row r="28" customFormat="false" ht="12.75" hidden="false" customHeight="false" outlineLevel="0" collapsed="false">
      <c r="B28" s="0" t="s">
        <v>4</v>
      </c>
      <c r="C28" s="12" t="n">
        <f aca="false">2067*0.66</f>
        <v>1364.22</v>
      </c>
      <c r="D28" s="12" t="n">
        <f aca="false">105737*0.026*0.66</f>
        <v>1814.44692</v>
      </c>
      <c r="E28" s="12" t="n">
        <f aca="false">52869*0.66*0.026</f>
        <v>907.23204</v>
      </c>
      <c r="F28" s="0" t="s">
        <v>21</v>
      </c>
      <c r="AA28" s="0" t="s">
        <v>11</v>
      </c>
      <c r="AB28" s="13" t="n">
        <f aca="false">+C13</f>
        <v>4000</v>
      </c>
    </row>
    <row r="29" customFormat="false" ht="15" hidden="false" customHeight="false" outlineLevel="0" collapsed="false">
      <c r="B29" s="0" t="s">
        <v>6</v>
      </c>
      <c r="C29" s="14" t="n">
        <f aca="false">2067*0.34</f>
        <v>702.78</v>
      </c>
      <c r="D29" s="14" t="n">
        <f aca="false">105737*0.026*0.34</f>
        <v>934.71508</v>
      </c>
      <c r="E29" s="14" t="n">
        <f aca="false">52869*0.026*0.34</f>
        <v>467.36196</v>
      </c>
    </row>
    <row r="30" customFormat="false" ht="13.5" hidden="false" customHeight="false" outlineLevel="0" collapsed="false">
      <c r="A30" s="15" t="s">
        <v>7</v>
      </c>
      <c r="C30" s="16" t="n">
        <f aca="false">C28+C29</f>
        <v>2067</v>
      </c>
      <c r="D30" s="16" t="n">
        <f aca="false">D28+D29</f>
        <v>2749.162</v>
      </c>
      <c r="E30" s="16" t="n">
        <f aca="false">E28+E29</f>
        <v>1374.594</v>
      </c>
    </row>
    <row r="31" customFormat="false" ht="13.5" hidden="false" customHeight="false" outlineLevel="0" collapsed="false">
      <c r="A31" s="15"/>
      <c r="C31" s="18"/>
      <c r="D31" s="18"/>
      <c r="E31" s="18"/>
    </row>
    <row r="32" customFormat="false" ht="15.75" hidden="false" customHeight="false" outlineLevel="0" collapsed="false">
      <c r="A32" s="11" t="s">
        <v>22</v>
      </c>
    </row>
    <row r="33" customFormat="false" ht="12.75" hidden="false" customHeight="false" outlineLevel="0" collapsed="false">
      <c r="B33" s="0" t="s">
        <v>4</v>
      </c>
      <c r="C33" s="12" t="n">
        <v>3456</v>
      </c>
      <c r="D33" s="12" t="n">
        <v>4000</v>
      </c>
      <c r="E33" s="12" t="n">
        <v>2500</v>
      </c>
      <c r="F33" s="0" t="s">
        <v>23</v>
      </c>
      <c r="AA33" s="0" t="s">
        <v>11</v>
      </c>
      <c r="AB33" s="13" t="n">
        <f aca="false">+C28</f>
        <v>1364.22</v>
      </c>
    </row>
    <row r="34" customFormat="false" ht="15" hidden="false" customHeight="false" outlineLevel="0" collapsed="false">
      <c r="B34" s="0" t="s">
        <v>6</v>
      </c>
      <c r="C34" s="14" t="n">
        <v>1600</v>
      </c>
      <c r="D34" s="14" t="n">
        <v>2000</v>
      </c>
      <c r="E34" s="14" t="n">
        <v>1000</v>
      </c>
    </row>
    <row r="35" customFormat="false" ht="13.5" hidden="false" customHeight="false" outlineLevel="0" collapsed="false">
      <c r="A35" s="15" t="s">
        <v>7</v>
      </c>
      <c r="C35" s="16" t="n">
        <f aca="false">C33+C34</f>
        <v>5056</v>
      </c>
      <c r="D35" s="16" t="n">
        <f aca="false">D33+D34</f>
        <v>6000</v>
      </c>
      <c r="E35" s="16" t="n">
        <f aca="false">E33+E34</f>
        <v>3500</v>
      </c>
    </row>
    <row r="36" customFormat="false" ht="13.5" hidden="false" customHeight="false" outlineLevel="0" collapsed="false"/>
    <row r="40" customFormat="false" ht="13.5" hidden="false" customHeight="false" outlineLevel="0" collapsed="false"/>
    <row r="41" customFormat="false" ht="12.75" hidden="false" customHeight="false" outlineLevel="0" collapsed="false">
      <c r="A41" s="19" t="str">
        <f aca="false">A1</f>
        <v>DealBench</v>
      </c>
      <c r="B41" s="2"/>
      <c r="C41" s="2"/>
      <c r="D41" s="2"/>
      <c r="E41" s="2"/>
      <c r="F41" s="2"/>
      <c r="G41" s="2"/>
      <c r="H41" s="2"/>
      <c r="I41" s="2"/>
      <c r="J41" s="3"/>
    </row>
    <row r="42" customFormat="false" ht="13.5" hidden="false" customHeight="false" outlineLevel="0" collapsed="false">
      <c r="A42" s="20" t="s">
        <v>24</v>
      </c>
      <c r="B42" s="21"/>
      <c r="C42" s="21"/>
      <c r="D42" s="21"/>
      <c r="E42" s="21"/>
      <c r="F42" s="21"/>
      <c r="G42" s="21"/>
      <c r="H42" s="21"/>
      <c r="I42" s="21"/>
      <c r="J42" s="22"/>
    </row>
    <row r="43" customFormat="false" ht="13.5" hidden="false" customHeight="fals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customFormat="false" ht="12.75" hidden="false" customHeight="false" outlineLevel="0" collapsed="false">
      <c r="A44" s="24"/>
      <c r="B44" s="25"/>
      <c r="C44" s="25"/>
      <c r="D44" s="25"/>
      <c r="E44" s="25"/>
      <c r="F44" s="25"/>
      <c r="G44" s="25"/>
      <c r="H44" s="25"/>
      <c r="I44" s="25"/>
      <c r="J44" s="26"/>
    </row>
    <row r="45" customFormat="false" ht="12.75" hidden="false" customHeight="false" outlineLevel="0" collapsed="false">
      <c r="A45" s="27"/>
      <c r="B45" s="28" t="s">
        <v>25</v>
      </c>
      <c r="C45" s="29" t="n">
        <v>1995</v>
      </c>
      <c r="D45" s="29" t="n">
        <v>1996</v>
      </c>
      <c r="E45" s="29" t="n">
        <v>1997</v>
      </c>
      <c r="F45" s="29" t="n">
        <v>1998</v>
      </c>
      <c r="G45" s="29" t="n">
        <v>1999</v>
      </c>
      <c r="H45" s="29" t="s">
        <v>26</v>
      </c>
      <c r="I45" s="29" t="s">
        <v>27</v>
      </c>
      <c r="J45" s="30" t="s">
        <v>28</v>
      </c>
    </row>
    <row r="46" customFormat="false" ht="12.75" hidden="false" customHeight="false" outlineLevel="0" collapsed="false">
      <c r="A46" s="31"/>
      <c r="B46" s="32"/>
      <c r="C46" s="32"/>
      <c r="D46" s="32"/>
      <c r="E46" s="32"/>
      <c r="F46" s="32"/>
      <c r="G46" s="32"/>
      <c r="H46" s="32"/>
      <c r="I46" s="32"/>
      <c r="J46" s="33"/>
    </row>
    <row r="47" customFormat="false" ht="12.75" hidden="false" customHeight="false" outlineLevel="0" collapsed="false">
      <c r="A47" s="31"/>
      <c r="B47" s="34" t="s">
        <v>29</v>
      </c>
      <c r="C47" s="35"/>
      <c r="D47" s="36"/>
      <c r="E47" s="32"/>
      <c r="F47" s="32"/>
      <c r="G47" s="32"/>
      <c r="H47" s="37"/>
      <c r="I47" s="32"/>
      <c r="J47" s="33"/>
    </row>
    <row r="48" customFormat="false" ht="12.75" hidden="false" customHeight="false" outlineLevel="0" collapsed="false">
      <c r="A48" s="31"/>
      <c r="B48" s="32" t="s">
        <v>30</v>
      </c>
      <c r="C48" s="12" t="n">
        <v>13</v>
      </c>
      <c r="D48" s="12" t="n">
        <v>26</v>
      </c>
      <c r="E48" s="12" t="n">
        <v>7</v>
      </c>
      <c r="F48" s="12" t="n">
        <v>15</v>
      </c>
      <c r="G48" s="12" t="n">
        <v>17</v>
      </c>
      <c r="H48" s="38" t="n">
        <f aca="false">AVERAGE(C48:G48)</f>
        <v>15.6</v>
      </c>
      <c r="I48" s="37" t="n">
        <f aca="false">MIN(C48:H48)</f>
        <v>7</v>
      </c>
      <c r="J48" s="39" t="n">
        <f aca="false">MAX(C48:H48)</f>
        <v>26</v>
      </c>
    </row>
    <row r="49" customFormat="false" ht="12.75" hidden="false" customHeight="false" outlineLevel="0" collapsed="false">
      <c r="A49" s="31"/>
      <c r="B49" s="32" t="s">
        <v>31</v>
      </c>
      <c r="C49" s="40" t="n">
        <v>2247</v>
      </c>
      <c r="D49" s="40" t="n">
        <v>3125</v>
      </c>
      <c r="E49" s="40" t="n">
        <v>5288</v>
      </c>
      <c r="F49" s="40" t="n">
        <v>6257</v>
      </c>
      <c r="G49" s="40" t="n">
        <v>5971</v>
      </c>
      <c r="H49" s="41" t="n">
        <f aca="false">AVERAGE(C49:G49)</f>
        <v>4577.6</v>
      </c>
      <c r="I49" s="42" t="n">
        <f aca="false">MIN(C49:H49)</f>
        <v>2247</v>
      </c>
      <c r="J49" s="43" t="n">
        <f aca="false">MAX(C49:H49)</f>
        <v>6257</v>
      </c>
    </row>
    <row r="50" customFormat="false" ht="12.75" hidden="false" customHeight="false" outlineLevel="0" collapsed="false">
      <c r="A50" s="31"/>
      <c r="B50" s="32" t="s">
        <v>32</v>
      </c>
      <c r="C50" s="37" t="n">
        <f aca="false">SUM(C48:C49)</f>
        <v>2260</v>
      </c>
      <c r="D50" s="37" t="n">
        <f aca="false">SUM(D48:D49)</f>
        <v>3151</v>
      </c>
      <c r="E50" s="37" t="n">
        <f aca="false">SUM(E48:E49)</f>
        <v>5295</v>
      </c>
      <c r="F50" s="37" t="n">
        <f aca="false">SUM(F48:F49)</f>
        <v>6272</v>
      </c>
      <c r="G50" s="37" t="n">
        <f aca="false">SUM(G48:G49)</f>
        <v>5988</v>
      </c>
      <c r="H50" s="37" t="n">
        <f aca="false">SUM(H48:H49)</f>
        <v>4593.2</v>
      </c>
      <c r="I50" s="37" t="n">
        <f aca="false">SUM(I48:I49)</f>
        <v>2254</v>
      </c>
      <c r="J50" s="39" t="n">
        <f aca="false">SUM(J48:J49)</f>
        <v>6283</v>
      </c>
    </row>
    <row r="51" customFormat="false" ht="12.75" hidden="false" customHeight="false" outlineLevel="0" collapsed="false">
      <c r="A51" s="31"/>
      <c r="B51" s="32"/>
      <c r="C51" s="38"/>
      <c r="D51" s="38"/>
      <c r="E51" s="38"/>
      <c r="F51" s="38"/>
      <c r="G51" s="38"/>
      <c r="H51" s="38"/>
      <c r="I51" s="32"/>
      <c r="J51" s="33"/>
    </row>
    <row r="52" customFormat="false" ht="12.75" hidden="false" customHeight="false" outlineLevel="0" collapsed="false">
      <c r="A52" s="31"/>
      <c r="B52" s="32" t="s">
        <v>33</v>
      </c>
      <c r="C52" s="12" t="n">
        <v>2</v>
      </c>
      <c r="D52" s="12" t="n">
        <v>9</v>
      </c>
      <c r="E52" s="12" t="n">
        <v>12</v>
      </c>
      <c r="F52" s="12" t="n">
        <v>6</v>
      </c>
      <c r="G52" s="12" t="n">
        <v>6</v>
      </c>
      <c r="H52" s="38" t="n">
        <f aca="false">AVERAGE(C52:G52)</f>
        <v>7</v>
      </c>
      <c r="I52" s="37" t="n">
        <f aca="false">MIN(C52:H52)</f>
        <v>2</v>
      </c>
      <c r="J52" s="39" t="n">
        <f aca="false">MAX(C52:H52)</f>
        <v>12</v>
      </c>
    </row>
    <row r="53" customFormat="false" ht="12.75" hidden="false" customHeight="false" outlineLevel="0" collapsed="false">
      <c r="A53" s="31"/>
      <c r="B53" s="32" t="s">
        <v>34</v>
      </c>
      <c r="C53" s="40" t="n">
        <v>122</v>
      </c>
      <c r="D53" s="40" t="n">
        <v>142</v>
      </c>
      <c r="E53" s="40" t="n">
        <v>363</v>
      </c>
      <c r="F53" s="40" t="n">
        <v>572</v>
      </c>
      <c r="G53" s="40" t="n">
        <v>878</v>
      </c>
      <c r="H53" s="41" t="n">
        <f aca="false">AVERAGE(C53:G53)</f>
        <v>415.4</v>
      </c>
      <c r="I53" s="42" t="n">
        <f aca="false">MIN(C53:H53)</f>
        <v>122</v>
      </c>
      <c r="J53" s="43" t="n">
        <f aca="false">MAX(C53:H53)</f>
        <v>878</v>
      </c>
    </row>
    <row r="54" customFormat="false" ht="12.75" hidden="false" customHeight="false" outlineLevel="0" collapsed="false">
      <c r="A54" s="31"/>
      <c r="B54" s="32" t="s">
        <v>35</v>
      </c>
      <c r="C54" s="37" t="n">
        <f aca="false">SUM(C52:C53)</f>
        <v>124</v>
      </c>
      <c r="D54" s="37" t="n">
        <f aca="false">SUM(D52:D53)</f>
        <v>151</v>
      </c>
      <c r="E54" s="37" t="n">
        <f aca="false">SUM(E52:E53)</f>
        <v>375</v>
      </c>
      <c r="F54" s="37" t="n">
        <f aca="false">SUM(F52:F53)</f>
        <v>578</v>
      </c>
      <c r="G54" s="37" t="n">
        <f aca="false">SUM(G52:G53)</f>
        <v>884</v>
      </c>
      <c r="H54" s="37" t="n">
        <f aca="false">SUM(H52:H53)</f>
        <v>422.4</v>
      </c>
      <c r="I54" s="37" t="n">
        <f aca="false">SUM(I52:I53)</f>
        <v>124</v>
      </c>
      <c r="J54" s="39" t="n">
        <f aca="false">SUM(J52:J53)</f>
        <v>890</v>
      </c>
    </row>
    <row r="55" customFormat="false" ht="12.75" hidden="false" customHeight="false" outlineLevel="0" collapsed="false">
      <c r="A55" s="31"/>
      <c r="B55" s="32"/>
      <c r="C55" s="38"/>
      <c r="D55" s="38"/>
      <c r="E55" s="38"/>
      <c r="F55" s="38"/>
      <c r="G55" s="38"/>
      <c r="H55" s="38"/>
      <c r="I55" s="32"/>
      <c r="J55" s="33"/>
    </row>
    <row r="56" customFormat="false" ht="12.75" hidden="false" customHeight="false" outlineLevel="0" collapsed="false">
      <c r="A56" s="31"/>
      <c r="B56" s="32" t="s">
        <v>36</v>
      </c>
      <c r="C56" s="12" t="n">
        <v>0</v>
      </c>
      <c r="D56" s="12" t="n">
        <v>0</v>
      </c>
      <c r="E56" s="12" t="n">
        <v>1</v>
      </c>
      <c r="F56" s="12" t="n">
        <v>1</v>
      </c>
      <c r="G56" s="12" t="n">
        <v>3</v>
      </c>
      <c r="H56" s="38" t="n">
        <f aca="false">AVERAGE(C56:G56)</f>
        <v>1</v>
      </c>
      <c r="I56" s="37" t="n">
        <f aca="false">MIN(C56:H56)</f>
        <v>0</v>
      </c>
      <c r="J56" s="39" t="n">
        <f aca="false">MAX(C56:H56)</f>
        <v>3</v>
      </c>
    </row>
    <row r="57" customFormat="false" ht="12.75" hidden="false" customHeight="false" outlineLevel="0" collapsed="false">
      <c r="A57" s="31"/>
      <c r="B57" s="32" t="s">
        <v>37</v>
      </c>
      <c r="C57" s="40" t="n">
        <v>22</v>
      </c>
      <c r="D57" s="40" t="n">
        <v>28</v>
      </c>
      <c r="E57" s="40" t="n">
        <v>73</v>
      </c>
      <c r="F57" s="40" t="n">
        <v>65</v>
      </c>
      <c r="G57" s="40" t="n">
        <v>75</v>
      </c>
      <c r="H57" s="41" t="n">
        <f aca="false">AVERAGE(C57:G57)</f>
        <v>52.6</v>
      </c>
      <c r="I57" s="42" t="n">
        <f aca="false">MIN(C57:H57)</f>
        <v>22</v>
      </c>
      <c r="J57" s="43" t="n">
        <f aca="false">MAX(C57:H57)</f>
        <v>75</v>
      </c>
    </row>
    <row r="58" customFormat="false" ht="12.75" hidden="false" customHeight="false" outlineLevel="0" collapsed="false">
      <c r="A58" s="31"/>
      <c r="B58" s="32" t="s">
        <v>32</v>
      </c>
      <c r="C58" s="37" t="n">
        <f aca="false">SUM(C56:C57)</f>
        <v>22</v>
      </c>
      <c r="D58" s="37" t="n">
        <f aca="false">SUM(D56:D57)</f>
        <v>28</v>
      </c>
      <c r="E58" s="37" t="n">
        <f aca="false">SUM(E56:E57)</f>
        <v>74</v>
      </c>
      <c r="F58" s="37" t="n">
        <f aca="false">SUM(F56:F57)</f>
        <v>66</v>
      </c>
      <c r="G58" s="37" t="n">
        <f aca="false">SUM(G56:G57)</f>
        <v>78</v>
      </c>
      <c r="H58" s="37" t="n">
        <f aca="false">SUM(H56:H57)</f>
        <v>53.6</v>
      </c>
      <c r="I58" s="37" t="n">
        <f aca="false">SUM(I56:I57)</f>
        <v>22</v>
      </c>
      <c r="J58" s="39" t="n">
        <f aca="false">SUM(J56:J57)</f>
        <v>78</v>
      </c>
    </row>
    <row r="59" customFormat="false" ht="12.75" hidden="false" customHeight="false" outlineLevel="0" collapsed="false">
      <c r="A59" s="31"/>
      <c r="B59" s="32"/>
      <c r="C59" s="38"/>
      <c r="D59" s="38"/>
      <c r="E59" s="38"/>
      <c r="F59" s="38"/>
      <c r="G59" s="38"/>
      <c r="H59" s="38"/>
      <c r="I59" s="32"/>
      <c r="J59" s="33"/>
    </row>
    <row r="60" customFormat="false" ht="12.75" hidden="false" customHeight="false" outlineLevel="0" collapsed="false">
      <c r="A60" s="31"/>
      <c r="B60" s="34" t="s">
        <v>38</v>
      </c>
      <c r="C60" s="35"/>
      <c r="D60" s="36"/>
      <c r="E60" s="38"/>
      <c r="F60" s="38"/>
      <c r="G60" s="38"/>
      <c r="H60" s="38"/>
      <c r="I60" s="32"/>
      <c r="J60" s="33"/>
    </row>
    <row r="61" customFormat="false" ht="12.75" hidden="false" customHeight="false" outlineLevel="0" collapsed="false">
      <c r="A61" s="31"/>
      <c r="B61" s="32" t="s">
        <v>39</v>
      </c>
      <c r="C61" s="12" t="n">
        <v>4</v>
      </c>
      <c r="D61" s="12" t="n">
        <v>19</v>
      </c>
      <c r="E61" s="12" t="n">
        <v>18</v>
      </c>
      <c r="F61" s="12" t="n">
        <v>27</v>
      </c>
      <c r="G61" s="12" t="n">
        <v>62</v>
      </c>
      <c r="H61" s="38" t="n">
        <f aca="false">AVERAGE(C61:G61)</f>
        <v>26</v>
      </c>
      <c r="I61" s="37" t="n">
        <f aca="false">MIN(C61:H61)</f>
        <v>4</v>
      </c>
      <c r="J61" s="39" t="n">
        <f aca="false">MAX(C61:H61)</f>
        <v>62</v>
      </c>
    </row>
    <row r="62" customFormat="false" ht="12.75" hidden="false" customHeight="false" outlineLevel="0" collapsed="false">
      <c r="A62" s="31"/>
      <c r="B62" s="32" t="s">
        <v>40</v>
      </c>
      <c r="C62" s="40" t="n">
        <v>1166</v>
      </c>
      <c r="D62" s="40" t="n">
        <v>1684</v>
      </c>
      <c r="E62" s="40" t="n">
        <v>1772</v>
      </c>
      <c r="F62" s="40" t="n">
        <v>1933</v>
      </c>
      <c r="G62" s="40" t="n">
        <v>2332</v>
      </c>
      <c r="H62" s="41" t="n">
        <f aca="false">AVERAGE(C62:G62)</f>
        <v>1777.4</v>
      </c>
      <c r="I62" s="42" t="n">
        <f aca="false">MIN(C62:H62)</f>
        <v>1166</v>
      </c>
      <c r="J62" s="43" t="n">
        <f aca="false">MAX(C62:H62)</f>
        <v>2332</v>
      </c>
    </row>
    <row r="63" customFormat="false" ht="12.75" hidden="false" customHeight="false" outlineLevel="0" collapsed="false">
      <c r="A63" s="31"/>
      <c r="B63" s="32" t="s">
        <v>32</v>
      </c>
      <c r="C63" s="37" t="n">
        <f aca="false">SUM(C61:C62)</f>
        <v>1170</v>
      </c>
      <c r="D63" s="37" t="n">
        <f aca="false">SUM(D61:D62)</f>
        <v>1703</v>
      </c>
      <c r="E63" s="37" t="n">
        <f aca="false">SUM(E61:E62)</f>
        <v>1790</v>
      </c>
      <c r="F63" s="37" t="n">
        <f aca="false">SUM(F61:F62)</f>
        <v>1960</v>
      </c>
      <c r="G63" s="37" t="n">
        <f aca="false">SUM(G61:G62)</f>
        <v>2394</v>
      </c>
      <c r="H63" s="37" t="n">
        <f aca="false">SUM(H61:H62)</f>
        <v>1803.4</v>
      </c>
      <c r="I63" s="37" t="n">
        <f aca="false">SUM(I61:I62)</f>
        <v>1170</v>
      </c>
      <c r="J63" s="39" t="n">
        <f aca="false">SUM(J61:J62)</f>
        <v>2394</v>
      </c>
    </row>
    <row r="64" customFormat="false" ht="12.75" hidden="false" customHeight="false" outlineLevel="0" collapsed="false">
      <c r="A64" s="31"/>
      <c r="B64" s="32"/>
      <c r="C64" s="38"/>
      <c r="D64" s="38"/>
      <c r="E64" s="38"/>
      <c r="F64" s="38"/>
      <c r="G64" s="38"/>
      <c r="H64" s="38"/>
      <c r="I64" s="32"/>
      <c r="J64" s="33"/>
    </row>
    <row r="65" customFormat="false" ht="12.75" hidden="false" customHeight="false" outlineLevel="0" collapsed="false">
      <c r="A65" s="31"/>
      <c r="B65" s="34" t="s">
        <v>3</v>
      </c>
      <c r="C65" s="35"/>
      <c r="D65" s="36"/>
      <c r="E65" s="38"/>
      <c r="F65" s="38"/>
      <c r="G65" s="38"/>
      <c r="H65" s="38"/>
      <c r="I65" s="32"/>
      <c r="J65" s="33"/>
    </row>
    <row r="66" customFormat="false" ht="12.75" hidden="false" customHeight="false" outlineLevel="0" collapsed="false">
      <c r="A66" s="31"/>
      <c r="B66" s="32" t="s">
        <v>4</v>
      </c>
      <c r="C66" s="12" t="n">
        <v>3494</v>
      </c>
      <c r="D66" s="12" t="n">
        <v>4500</v>
      </c>
      <c r="E66" s="12" t="n">
        <v>5561</v>
      </c>
      <c r="F66" s="12" t="n">
        <v>4587</v>
      </c>
      <c r="G66" s="12" t="n">
        <v>3974</v>
      </c>
      <c r="H66" s="38" t="n">
        <f aca="false">AVERAGE(C66:G66)</f>
        <v>4423.2</v>
      </c>
      <c r="I66" s="37" t="n">
        <f aca="false">MIN(C66:H66)</f>
        <v>3494</v>
      </c>
      <c r="J66" s="39" t="n">
        <f aca="false">MAX(C66:H66)</f>
        <v>5561</v>
      </c>
    </row>
    <row r="67" customFormat="false" ht="12.75" hidden="false" customHeight="false" outlineLevel="0" collapsed="false">
      <c r="A67" s="31"/>
      <c r="B67" s="32" t="s">
        <v>6</v>
      </c>
      <c r="C67" s="40" t="n">
        <v>4860</v>
      </c>
      <c r="D67" s="40" t="n">
        <v>6387</v>
      </c>
      <c r="E67" s="40" t="n">
        <v>8111</v>
      </c>
      <c r="F67" s="40" t="n">
        <v>6275</v>
      </c>
      <c r="G67" s="40" t="n">
        <v>5855</v>
      </c>
      <c r="H67" s="41" t="n">
        <f aca="false">AVERAGE(C67:G67)</f>
        <v>6297.6</v>
      </c>
      <c r="I67" s="42" t="n">
        <f aca="false">MIN(C67:H67)</f>
        <v>4860</v>
      </c>
      <c r="J67" s="43" t="n">
        <f aca="false">MAX(C67:H67)</f>
        <v>8111</v>
      </c>
    </row>
    <row r="68" customFormat="false" ht="12.75" hidden="false" customHeight="false" outlineLevel="0" collapsed="false">
      <c r="A68" s="31"/>
      <c r="B68" s="32" t="s">
        <v>32</v>
      </c>
      <c r="C68" s="37" t="n">
        <f aca="false">SUM(C66:C67)</f>
        <v>8354</v>
      </c>
      <c r="D68" s="37" t="n">
        <f aca="false">SUM(D66:D67)</f>
        <v>10887</v>
      </c>
      <c r="E68" s="37" t="n">
        <f aca="false">SUM(E66:E67)</f>
        <v>13672</v>
      </c>
      <c r="F68" s="37" t="n">
        <f aca="false">SUM(F66:F67)</f>
        <v>10862</v>
      </c>
      <c r="G68" s="37" t="n">
        <f aca="false">SUM(G66:G67)</f>
        <v>9829</v>
      </c>
      <c r="H68" s="37" t="n">
        <f aca="false">SUM(H66:H67)</f>
        <v>10720.8</v>
      </c>
      <c r="I68" s="37" t="n">
        <f aca="false">SUM(I66:I67)</f>
        <v>8354</v>
      </c>
      <c r="J68" s="39" t="n">
        <f aca="false">SUM(J66:J67)</f>
        <v>13672</v>
      </c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G69" s="32"/>
      <c r="H69" s="32"/>
      <c r="I69" s="32"/>
      <c r="J69" s="33"/>
    </row>
    <row r="70" customFormat="false" ht="12.75" hidden="false" customHeight="false" outlineLevel="0" collapsed="false">
      <c r="A70" s="31"/>
      <c r="B70" s="44" t="s">
        <v>41</v>
      </c>
      <c r="C70" s="32"/>
      <c r="D70" s="32"/>
      <c r="E70" s="32"/>
      <c r="F70" s="32"/>
      <c r="G70" s="32"/>
      <c r="H70" s="32"/>
      <c r="I70" s="32"/>
      <c r="J70" s="33"/>
    </row>
    <row r="71" customFormat="false" ht="12.75" hidden="false" customHeight="false" outlineLevel="0" collapsed="false">
      <c r="A71" s="31"/>
      <c r="B71" s="32" t="s">
        <v>42</v>
      </c>
      <c r="C71" s="32"/>
      <c r="D71" s="32"/>
      <c r="E71" s="32"/>
      <c r="F71" s="32"/>
      <c r="G71" s="32"/>
      <c r="H71" s="32"/>
      <c r="I71" s="32"/>
      <c r="J71" s="33"/>
    </row>
    <row r="72" customFormat="false" ht="12.75" hidden="false" customHeight="false" outlineLevel="0" collapsed="false">
      <c r="A72" s="31"/>
      <c r="B72" s="32" t="s">
        <v>43</v>
      </c>
      <c r="C72" s="32"/>
      <c r="D72" s="32"/>
      <c r="E72" s="32"/>
      <c r="F72" s="32"/>
      <c r="G72" s="32"/>
      <c r="H72" s="32"/>
      <c r="I72" s="32"/>
      <c r="J72" s="33"/>
    </row>
    <row r="73" customFormat="false" ht="13.5" hidden="false" customHeight="false" outlineLevel="0" collapsed="false">
      <c r="A73" s="45"/>
      <c r="B73" s="46"/>
      <c r="C73" s="46"/>
      <c r="D73" s="46"/>
      <c r="E73" s="46"/>
      <c r="F73" s="46"/>
      <c r="G73" s="46"/>
      <c r="H73" s="46"/>
      <c r="I73" s="46"/>
      <c r="J73" s="47"/>
    </row>
    <row r="74" customFormat="false" ht="12.75" hidden="false" customHeight="false" outlineLevel="0" collapsed="false">
      <c r="A74" s="23" t="s">
        <v>1</v>
      </c>
      <c r="B74" s="23"/>
      <c r="C74" s="23"/>
      <c r="D74" s="23"/>
      <c r="E74" s="23"/>
      <c r="F74" s="23"/>
      <c r="G74" s="23"/>
      <c r="H74" s="23"/>
      <c r="I74" s="23"/>
      <c r="J74" s="23"/>
    </row>
    <row r="75" customFormat="false" ht="12.75" hidden="false" customHeight="false" outlineLevel="0" collapsed="false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customFormat="false" ht="12.75" hidden="false" customHeight="false" outlineLevel="0" collapsed="false">
      <c r="A76" s="48"/>
      <c r="B76" s="49" t="s">
        <v>44</v>
      </c>
      <c r="C76" s="49"/>
      <c r="D76" s="50" t="s">
        <v>45</v>
      </c>
      <c r="E76" s="23"/>
      <c r="F76" s="23"/>
      <c r="G76" s="23"/>
      <c r="H76" s="23"/>
      <c r="I76" s="23"/>
      <c r="J76" s="23"/>
    </row>
    <row r="77" customFormat="false" ht="12.75" hidden="false" customHeight="false" outlineLevel="0" collapsed="false">
      <c r="A77" s="51"/>
      <c r="B77" s="32"/>
      <c r="C77" s="52"/>
      <c r="D77" s="53"/>
      <c r="E77" s="23"/>
      <c r="F77" s="23"/>
      <c r="G77" s="23"/>
      <c r="H77" s="23"/>
      <c r="I77" s="23"/>
      <c r="J77" s="23"/>
    </row>
    <row r="78" customFormat="false" ht="12.75" hidden="false" customHeight="false" outlineLevel="0" collapsed="false">
      <c r="A78" s="51"/>
      <c r="B78" s="32" t="s">
        <v>46</v>
      </c>
      <c r="C78" s="52"/>
      <c r="D78" s="54" t="n">
        <f aca="false">+H49+H53+H62</f>
        <v>6770.4</v>
      </c>
      <c r="E78" s="23"/>
      <c r="F78" s="23"/>
      <c r="G78" s="23"/>
      <c r="H78" s="23"/>
      <c r="I78" s="23"/>
      <c r="J78" s="23"/>
    </row>
    <row r="79" customFormat="false" ht="12.75" hidden="false" customHeight="false" outlineLevel="0" collapsed="false">
      <c r="A79" s="51"/>
      <c r="B79" s="32" t="s">
        <v>47</v>
      </c>
      <c r="C79" s="52"/>
      <c r="D79" s="55" t="n">
        <f aca="false">(64442+94351)/5*0.4</f>
        <v>12703.44</v>
      </c>
      <c r="E79" s="23"/>
      <c r="F79" s="23"/>
      <c r="G79" s="23"/>
      <c r="H79" s="23"/>
      <c r="I79" s="23"/>
      <c r="J79" s="23"/>
    </row>
    <row r="80" customFormat="false" ht="12.75" hidden="false" customHeight="false" outlineLevel="0" collapsed="false">
      <c r="A80" s="51"/>
      <c r="B80" s="32" t="s">
        <v>48</v>
      </c>
      <c r="C80" s="52"/>
      <c r="D80" s="54" t="n">
        <f aca="false">+H68</f>
        <v>10720.8</v>
      </c>
      <c r="E80" s="23"/>
      <c r="F80" s="23"/>
      <c r="G80" s="23"/>
      <c r="H80" s="23"/>
      <c r="I80" s="23"/>
      <c r="J80" s="23"/>
    </row>
    <row r="81" customFormat="false" ht="12.75" hidden="false" customHeight="false" outlineLevel="0" collapsed="false">
      <c r="A81" s="56"/>
      <c r="B81" s="57"/>
      <c r="C81" s="57"/>
      <c r="D81" s="58"/>
      <c r="E81" s="23"/>
      <c r="F81" s="23"/>
      <c r="G81" s="23"/>
      <c r="H81" s="23"/>
      <c r="I81" s="23"/>
      <c r="J81" s="23"/>
    </row>
    <row r="82" customFormat="false" ht="12.75" hidden="false" customHeight="false" outlineLevel="0" collapsed="false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customFormat="false" ht="12.75" hidden="false" customHeight="false" outlineLevel="0" collapsed="false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customFormat="false" ht="12.75" hidden="false" customHeight="fals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customFormat="false" ht="12.75" hidden="false" customHeight="fals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customFormat="false" ht="12.75" hidden="false" customHeight="fals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customFormat="false" ht="12.75" hidden="false" customHeight="fals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customFormat="false" ht="12.75" hidden="false" customHeight="fals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customFormat="false" ht="12.75" hidden="false" customHeight="false" outlineLevel="0" collapsed="false">
      <c r="A89" s="23"/>
      <c r="B89" s="23"/>
      <c r="C89" s="23"/>
      <c r="D89" s="23"/>
      <c r="E89" s="23"/>
      <c r="F89" s="23"/>
      <c r="G89" s="23"/>
      <c r="H89" s="23"/>
      <c r="I89" s="59"/>
      <c r="J89" s="23"/>
    </row>
    <row r="90" customFormat="false" ht="12.75" hidden="false" customHeight="fals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customFormat="false" ht="12.75" hidden="false" customHeight="fals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customFormat="false" ht="12.75" hidden="false" customHeight="fals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customFormat="false" ht="12.75" hidden="false" customHeight="fals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customFormat="false" ht="12.75" hidden="false" customHeight="fals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customFormat="false" ht="12.75" hidden="false" customHeight="fals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customFormat="false" ht="12.75" hidden="false" customHeight="fals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customFormat="false" ht="12.75" hidden="false" customHeight="fals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customFormat="false" ht="12.75" hidden="false" customHeight="fals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customFormat="false" ht="12.75" hidden="false" customHeight="fals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customFormat="false" ht="12.75" hidden="false" customHeight="fals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customFormat="false" ht="12.75" hidden="false" customHeight="fals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customFormat="false" ht="12.75" hidden="false" customHeight="fals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customFormat="false" ht="12.75" hidden="false" customHeight="fals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customFormat="false" ht="12.75" hidden="false" customHeight="fals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customFormat="false" ht="12.75" hidden="false" customHeight="fals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customFormat="false" ht="12.75" hidden="false" customHeight="fals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customFormat="false" ht="12.75" hidden="false" customHeight="fals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customFormat="false" ht="12.75" hidden="false" customHeight="fals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customFormat="false" ht="12.75" hidden="false" customHeight="fals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6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6.13"/>
    <col collapsed="false" customWidth="true" hidden="false" outlineLevel="0" max="3" min="3" style="0" width="24.41"/>
    <col collapsed="false" customWidth="true" hidden="false" outlineLevel="0" max="4" min="4" style="0" width="7.42"/>
    <col collapsed="false" customWidth="true" hidden="false" outlineLevel="0" max="5" min="5" style="0" width="18.85"/>
    <col collapsed="false" customWidth="true" hidden="false" outlineLevel="0" max="6" min="6" style="0" width="13.7"/>
    <col collapsed="false" customWidth="true" hidden="false" outlineLevel="0" max="7" min="7" style="0" width="1.99"/>
    <col collapsed="false" customWidth="true" hidden="false" outlineLevel="0" max="8" min="8" style="0" width="13.7"/>
    <col collapsed="false" customWidth="true" hidden="false" outlineLevel="0" max="9" min="9" style="0" width="1.99"/>
    <col collapsed="false" customWidth="true" hidden="false" outlineLevel="0" max="10" min="10" style="0" width="13.7"/>
    <col collapsed="false" customWidth="true" hidden="false" outlineLevel="0" max="11" min="11" style="0" width="1.99"/>
    <col collapsed="false" customWidth="true" hidden="false" outlineLevel="0" max="12" min="12" style="0" width="13.7"/>
    <col collapsed="false" customWidth="true" hidden="false" outlineLevel="0" max="13" min="13" style="0" width="1.99"/>
    <col collapsed="false" customWidth="true" hidden="false" outlineLevel="0" max="14" min="14" style="0" width="15.13"/>
    <col collapsed="false" customWidth="true" hidden="false" outlineLevel="0" max="15" min="15" style="0" width="1.99"/>
    <col collapsed="false" customWidth="true" hidden="false" outlineLevel="0" max="16" min="16" style="0" width="16.28"/>
    <col collapsed="false" customWidth="true" hidden="false" outlineLevel="0" max="18" min="18" style="0" width="18.56"/>
  </cols>
  <sheetData>
    <row r="1" customFormat="false" ht="18" hidden="false" customHeight="false" outlineLevel="0" collapsed="false">
      <c r="A1" s="1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2"/>
    </row>
    <row r="2" customFormat="false" ht="18" hidden="false" customHeight="false" outlineLevel="0" collapsed="false">
      <c r="A2" s="63" t="s">
        <v>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2"/>
    </row>
    <row r="3" customFormat="false" ht="15.75" hidden="false" customHeight="false" outlineLevel="0" collapsed="false">
      <c r="A3" s="66" t="s">
        <v>51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2"/>
    </row>
    <row r="4" customFormat="false" ht="9" hidden="false" customHeight="true" outlineLevel="0" collapsed="false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62"/>
    </row>
    <row r="5" customFormat="false" ht="12.75" hidden="false" customHeight="false" outlineLevel="0" collapsed="false">
      <c r="A5" s="72"/>
      <c r="B5" s="73"/>
      <c r="C5" s="73"/>
      <c r="D5" s="73"/>
      <c r="E5" s="73"/>
      <c r="F5" s="74" t="n">
        <v>2001</v>
      </c>
      <c r="G5" s="74"/>
      <c r="H5" s="74" t="n">
        <f aca="false">F5+1</f>
        <v>2002</v>
      </c>
      <c r="I5" s="74"/>
      <c r="J5" s="74" t="n">
        <f aca="false">H5+1</f>
        <v>2003</v>
      </c>
      <c r="K5" s="74"/>
      <c r="L5" s="74" t="n">
        <f aca="false">J5+1</f>
        <v>2004</v>
      </c>
      <c r="M5" s="74"/>
      <c r="N5" s="75" t="n">
        <f aca="false">L5+1</f>
        <v>2005</v>
      </c>
      <c r="O5" s="62"/>
    </row>
    <row r="6" customFormat="false" ht="15.75" hidden="false" customHeight="false" outlineLevel="0" collapsed="false">
      <c r="A6" s="76" t="s">
        <v>52</v>
      </c>
      <c r="B6" s="77"/>
      <c r="C6" s="77"/>
      <c r="D6" s="77"/>
      <c r="E6" s="78" t="s">
        <v>53</v>
      </c>
      <c r="F6" s="79"/>
      <c r="G6" s="79"/>
      <c r="H6" s="79"/>
      <c r="I6" s="79"/>
      <c r="J6" s="79"/>
      <c r="K6" s="79"/>
      <c r="L6" s="79"/>
      <c r="M6" s="79"/>
      <c r="N6" s="80"/>
      <c r="O6" s="62"/>
    </row>
    <row r="7" customFormat="false" ht="12.75" hidden="false" customHeight="false" outlineLevel="0" collapsed="false">
      <c r="A7" s="81"/>
      <c r="B7" s="82" t="s">
        <v>54</v>
      </c>
      <c r="C7" s="82"/>
      <c r="D7" s="77"/>
      <c r="E7" s="83" t="s">
        <v>55</v>
      </c>
      <c r="F7" s="79"/>
      <c r="G7" s="79"/>
      <c r="H7" s="79"/>
      <c r="I7" s="79"/>
      <c r="J7" s="79"/>
      <c r="K7" s="79"/>
      <c r="L7" s="79"/>
      <c r="M7" s="79"/>
      <c r="N7" s="80"/>
      <c r="O7" s="79"/>
    </row>
    <row r="8" customFormat="false" ht="12.75" hidden="false" customHeight="false" outlineLevel="0" collapsed="false">
      <c r="A8" s="81"/>
      <c r="B8" s="77" t="s">
        <v>56</v>
      </c>
      <c r="C8" s="77"/>
      <c r="D8" s="77"/>
      <c r="E8" s="84" t="n">
        <v>0.05</v>
      </c>
      <c r="F8" s="12" t="n">
        <f aca="false">'Market Size'!C10</f>
        <v>10720.8</v>
      </c>
      <c r="G8" s="79"/>
      <c r="H8" s="85" t="n">
        <f aca="false">F8*(1+$E8)</f>
        <v>11256.84</v>
      </c>
      <c r="I8" s="86"/>
      <c r="J8" s="85" t="n">
        <f aca="false">H8*(1+$E8)</f>
        <v>11819.682</v>
      </c>
      <c r="K8" s="86"/>
      <c r="L8" s="85" t="n">
        <f aca="false">J8*(1+$E8)</f>
        <v>12410.6661</v>
      </c>
      <c r="M8" s="86"/>
      <c r="N8" s="87" t="n">
        <f aca="false">L8*(1+$E8)</f>
        <v>13031.199405</v>
      </c>
      <c r="O8" s="86"/>
    </row>
    <row r="9" customFormat="false" ht="12.75" hidden="false" customHeight="false" outlineLevel="0" collapsed="false">
      <c r="A9" s="81"/>
      <c r="B9" s="88" t="s">
        <v>57</v>
      </c>
      <c r="C9" s="88"/>
      <c r="D9" s="77"/>
      <c r="E9" s="83"/>
      <c r="F9" s="89" t="n">
        <v>0.05</v>
      </c>
      <c r="G9" s="90"/>
      <c r="H9" s="89" t="n">
        <v>0.1</v>
      </c>
      <c r="I9" s="90"/>
      <c r="J9" s="89" t="n">
        <v>0.12</v>
      </c>
      <c r="K9" s="90"/>
      <c r="L9" s="89" t="n">
        <v>0.2</v>
      </c>
      <c r="M9" s="90"/>
      <c r="N9" s="91" t="n">
        <v>0.25</v>
      </c>
      <c r="O9" s="90"/>
    </row>
    <row r="10" customFormat="false" ht="12.75" hidden="false" customHeight="false" outlineLevel="0" collapsed="false">
      <c r="A10" s="81"/>
      <c r="B10" s="77" t="s">
        <v>58</v>
      </c>
      <c r="C10" s="77"/>
      <c r="D10" s="77"/>
      <c r="E10" s="92"/>
      <c r="F10" s="38" t="n">
        <f aca="false">F8*F9</f>
        <v>536.04</v>
      </c>
      <c r="G10" s="38"/>
      <c r="H10" s="38" t="n">
        <f aca="false">H8*H9</f>
        <v>1125.684</v>
      </c>
      <c r="I10" s="38"/>
      <c r="J10" s="38" t="n">
        <f aca="false">J8*J9</f>
        <v>1418.36184</v>
      </c>
      <c r="K10" s="38"/>
      <c r="L10" s="38" t="n">
        <f aca="false">L8*L9</f>
        <v>2482.13322</v>
      </c>
      <c r="M10" s="38"/>
      <c r="N10" s="93" t="n">
        <f aca="false">N8*N9</f>
        <v>3257.79985125</v>
      </c>
      <c r="O10" s="38"/>
    </row>
    <row r="11" customFormat="false" ht="12" hidden="false" customHeight="false" outlineLevel="0" collapsed="false">
      <c r="A11" s="94"/>
      <c r="B11" s="95"/>
      <c r="C11" s="95" t="s">
        <v>59</v>
      </c>
      <c r="D11" s="95"/>
      <c r="E11" s="96"/>
      <c r="F11" s="95"/>
      <c r="G11" s="97"/>
      <c r="H11" s="98" t="n">
        <f aca="false">H10/F10-1</f>
        <v>1.1</v>
      </c>
      <c r="I11" s="97"/>
      <c r="J11" s="98" t="n">
        <f aca="false">J10/H10-1</f>
        <v>0.26</v>
      </c>
      <c r="K11" s="97"/>
      <c r="L11" s="98" t="n">
        <f aca="false">L10/J10-1</f>
        <v>0.75</v>
      </c>
      <c r="M11" s="97"/>
      <c r="N11" s="99" t="n">
        <f aca="false">N10/L10-1</f>
        <v>0.3125</v>
      </c>
      <c r="O11" s="97"/>
      <c r="P11" s="100"/>
      <c r="Q11" s="100"/>
      <c r="R11" s="100"/>
    </row>
    <row r="12" customFormat="false" ht="15" hidden="false" customHeight="false" outlineLevel="0" collapsed="false">
      <c r="A12" s="81"/>
      <c r="B12" s="77" t="s">
        <v>60</v>
      </c>
      <c r="C12" s="77"/>
      <c r="D12" s="77"/>
      <c r="E12" s="84" t="n">
        <v>-0.1</v>
      </c>
      <c r="F12" s="101" t="n">
        <v>5000</v>
      </c>
      <c r="G12" s="38"/>
      <c r="H12" s="102" t="n">
        <f aca="false">F12*(1+$E12)</f>
        <v>4500</v>
      </c>
      <c r="I12" s="38"/>
      <c r="J12" s="102" t="n">
        <f aca="false">H12*(1+$E12)</f>
        <v>4050</v>
      </c>
      <c r="K12" s="38"/>
      <c r="L12" s="102" t="n">
        <f aca="false">J12*(1+$E12)</f>
        <v>3645</v>
      </c>
      <c r="M12" s="38"/>
      <c r="N12" s="103" t="n">
        <f aca="false">L12*(1+$E12)</f>
        <v>3280.5</v>
      </c>
      <c r="O12" s="38"/>
    </row>
    <row r="13" customFormat="false" ht="12.75" hidden="false" customHeight="false" outlineLevel="0" collapsed="false">
      <c r="A13" s="81"/>
      <c r="B13" s="77" t="s">
        <v>61</v>
      </c>
      <c r="C13" s="77"/>
      <c r="D13" s="77"/>
      <c r="E13" s="92"/>
      <c r="F13" s="104" t="n">
        <f aca="false">F10*F12/1000000</f>
        <v>2.6802</v>
      </c>
      <c r="G13" s="62"/>
      <c r="H13" s="104" t="n">
        <f aca="false">H10*H12/1000000</f>
        <v>5.065578</v>
      </c>
      <c r="I13" s="62"/>
      <c r="J13" s="104" t="n">
        <f aca="false">J10*J12/1000000</f>
        <v>5.744365452</v>
      </c>
      <c r="K13" s="62"/>
      <c r="L13" s="104" t="n">
        <f aca="false">L10*L12/1000000</f>
        <v>9.0473755869</v>
      </c>
      <c r="M13" s="62"/>
      <c r="N13" s="105" t="n">
        <f aca="false">N10*N12/1000000</f>
        <v>10.6872124120256</v>
      </c>
      <c r="O13" s="62"/>
    </row>
    <row r="14" customFormat="false" ht="12.75" hidden="false" customHeight="false" outlineLevel="0" collapsed="false">
      <c r="A14" s="94"/>
      <c r="B14" s="95"/>
      <c r="C14" s="95" t="s">
        <v>59</v>
      </c>
      <c r="D14" s="95"/>
      <c r="E14" s="96"/>
      <c r="F14" s="95"/>
      <c r="G14" s="97"/>
      <c r="H14" s="98" t="n">
        <f aca="false">H13/F13-1</f>
        <v>0.89</v>
      </c>
      <c r="I14" s="97"/>
      <c r="J14" s="98" t="n">
        <f aca="false">J13/H13-1</f>
        <v>0.134</v>
      </c>
      <c r="K14" s="97"/>
      <c r="L14" s="98" t="n">
        <f aca="false">L13/J13-1</f>
        <v>0.575</v>
      </c>
      <c r="M14" s="97"/>
      <c r="N14" s="99" t="n">
        <f aca="false">N13/L13-1</f>
        <v>0.18125</v>
      </c>
      <c r="O14" s="97"/>
      <c r="Q14" s="100"/>
      <c r="R14" s="100"/>
    </row>
    <row r="15" customFormat="false" ht="18" hidden="false" customHeight="true" outlineLevel="0" collapsed="false">
      <c r="A15" s="81"/>
      <c r="B15" s="52"/>
      <c r="C15" s="52"/>
      <c r="D15" s="52"/>
      <c r="E15" s="106"/>
      <c r="F15" s="32"/>
      <c r="G15" s="62"/>
      <c r="H15" s="62"/>
      <c r="I15" s="62"/>
      <c r="J15" s="62"/>
      <c r="K15" s="62"/>
      <c r="L15" s="62"/>
      <c r="M15" s="62"/>
      <c r="N15" s="107"/>
      <c r="O15" s="62"/>
    </row>
    <row r="16" customFormat="false" ht="12.75" hidden="false" customHeight="false" outlineLevel="0" collapsed="false">
      <c r="A16" s="81"/>
      <c r="B16" s="77" t="s">
        <v>62</v>
      </c>
      <c r="C16" s="77"/>
      <c r="D16" s="77"/>
      <c r="E16" s="84" t="n">
        <v>0.1</v>
      </c>
      <c r="F16" s="12" t="n">
        <f aca="false">'Market Size'!C15</f>
        <v>6000</v>
      </c>
      <c r="G16" s="79"/>
      <c r="H16" s="85" t="n">
        <f aca="false">F16*(1+$E16)</f>
        <v>6600</v>
      </c>
      <c r="I16" s="86"/>
      <c r="J16" s="85" t="n">
        <f aca="false">H16*(1+$E16)</f>
        <v>7260</v>
      </c>
      <c r="K16" s="86"/>
      <c r="L16" s="85" t="n">
        <f aca="false">J16*(1+$E16)</f>
        <v>7986</v>
      </c>
      <c r="M16" s="86"/>
      <c r="N16" s="87" t="n">
        <f aca="false">L16*(1+$E16)</f>
        <v>8784.6</v>
      </c>
      <c r="O16" s="86"/>
    </row>
    <row r="17" customFormat="false" ht="12.75" hidden="false" customHeight="false" outlineLevel="0" collapsed="false">
      <c r="A17" s="81"/>
      <c r="B17" s="77" t="s">
        <v>57</v>
      </c>
      <c r="C17" s="77"/>
      <c r="D17" s="77"/>
      <c r="E17" s="83"/>
      <c r="F17" s="89" t="n">
        <v>0.05</v>
      </c>
      <c r="G17" s="90"/>
      <c r="H17" s="89" t="n">
        <v>0.07</v>
      </c>
      <c r="I17" s="90"/>
      <c r="J17" s="89" t="n">
        <v>0.09</v>
      </c>
      <c r="K17" s="90"/>
      <c r="L17" s="89" t="n">
        <v>0.12</v>
      </c>
      <c r="M17" s="90"/>
      <c r="N17" s="91" t="n">
        <v>0.15</v>
      </c>
      <c r="O17" s="90"/>
    </row>
    <row r="18" customFormat="false" ht="12.75" hidden="false" customHeight="false" outlineLevel="0" collapsed="false">
      <c r="A18" s="81"/>
      <c r="B18" s="77" t="s">
        <v>8</v>
      </c>
      <c r="C18" s="77"/>
      <c r="D18" s="52"/>
      <c r="E18" s="106"/>
      <c r="F18" s="38" t="n">
        <f aca="false">F16*F17</f>
        <v>300</v>
      </c>
      <c r="G18" s="38"/>
      <c r="H18" s="38" t="n">
        <f aca="false">H16*H17</f>
        <v>462</v>
      </c>
      <c r="I18" s="38"/>
      <c r="J18" s="38" t="n">
        <f aca="false">J16*J17</f>
        <v>653.4</v>
      </c>
      <c r="K18" s="38"/>
      <c r="L18" s="38" t="n">
        <f aca="false">L16*L17</f>
        <v>958.32</v>
      </c>
      <c r="M18" s="38"/>
      <c r="N18" s="93" t="n">
        <f aca="false">N16*N17</f>
        <v>1317.69</v>
      </c>
      <c r="O18" s="38"/>
    </row>
    <row r="19" customFormat="false" ht="12" hidden="false" customHeight="false" outlineLevel="0" collapsed="false">
      <c r="A19" s="94"/>
      <c r="B19" s="95"/>
      <c r="C19" s="95" t="s">
        <v>59</v>
      </c>
      <c r="D19" s="95"/>
      <c r="E19" s="96"/>
      <c r="F19" s="95"/>
      <c r="G19" s="97"/>
      <c r="H19" s="98" t="n">
        <f aca="false">H18/F18-1</f>
        <v>0.540000000000001</v>
      </c>
      <c r="I19" s="97"/>
      <c r="J19" s="98" t="n">
        <f aca="false">J18/H18-1</f>
        <v>0.414285714285714</v>
      </c>
      <c r="K19" s="97"/>
      <c r="L19" s="98" t="n">
        <f aca="false">L18/J18-1</f>
        <v>0.466666666666667</v>
      </c>
      <c r="M19" s="97"/>
      <c r="N19" s="99" t="n">
        <f aca="false">N18/L18-1</f>
        <v>0.375</v>
      </c>
      <c r="O19" s="97"/>
      <c r="P19" s="100"/>
      <c r="Q19" s="100"/>
      <c r="R19" s="100"/>
    </row>
    <row r="20" customFormat="false" ht="15" hidden="false" customHeight="false" outlineLevel="0" collapsed="false">
      <c r="A20" s="81"/>
      <c r="B20" s="77" t="s">
        <v>60</v>
      </c>
      <c r="C20" s="77"/>
      <c r="D20" s="52"/>
      <c r="E20" s="84" t="n">
        <v>-0.1</v>
      </c>
      <c r="F20" s="101" t="n">
        <v>3000</v>
      </c>
      <c r="G20" s="38"/>
      <c r="H20" s="102" t="n">
        <f aca="false">F20*(1+$E20)</f>
        <v>2700</v>
      </c>
      <c r="I20" s="38"/>
      <c r="J20" s="102" t="n">
        <f aca="false">H20*(1+$E20)</f>
        <v>2430</v>
      </c>
      <c r="K20" s="38"/>
      <c r="L20" s="102" t="n">
        <f aca="false">J20*(1+$E20)</f>
        <v>2187</v>
      </c>
      <c r="M20" s="38"/>
      <c r="N20" s="103" t="n">
        <f aca="false">L20*(1+$E20)</f>
        <v>1968.3</v>
      </c>
      <c r="O20" s="38"/>
    </row>
    <row r="21" customFormat="false" ht="12.75" hidden="false" customHeight="false" outlineLevel="0" collapsed="false">
      <c r="A21" s="81"/>
      <c r="B21" s="77" t="s">
        <v>63</v>
      </c>
      <c r="C21" s="77"/>
      <c r="D21" s="52"/>
      <c r="E21" s="106"/>
      <c r="F21" s="104" t="n">
        <f aca="false">F18*F20/1000000</f>
        <v>0.9</v>
      </c>
      <c r="G21" s="62"/>
      <c r="H21" s="104" t="n">
        <f aca="false">H18*H20/1000000</f>
        <v>1.2474</v>
      </c>
      <c r="I21" s="62"/>
      <c r="J21" s="104" t="n">
        <f aca="false">J18*J20/1000000</f>
        <v>1.587762</v>
      </c>
      <c r="K21" s="62"/>
      <c r="L21" s="104" t="n">
        <f aca="false">L18*L20/1000000</f>
        <v>2.09584584</v>
      </c>
      <c r="M21" s="62"/>
      <c r="N21" s="105" t="n">
        <f aca="false">N18*N20/1000000</f>
        <v>2.593609227</v>
      </c>
      <c r="O21" s="62"/>
    </row>
    <row r="22" customFormat="false" ht="12" hidden="false" customHeight="false" outlineLevel="0" collapsed="false">
      <c r="A22" s="94"/>
      <c r="B22" s="95"/>
      <c r="C22" s="95" t="s">
        <v>59</v>
      </c>
      <c r="D22" s="95"/>
      <c r="E22" s="96"/>
      <c r="F22" s="95"/>
      <c r="G22" s="97"/>
      <c r="H22" s="98" t="n">
        <f aca="false">H21/F21-1</f>
        <v>0.386</v>
      </c>
      <c r="I22" s="97"/>
      <c r="J22" s="98" t="n">
        <f aca="false">J21/H21-1</f>
        <v>0.272857142857143</v>
      </c>
      <c r="K22" s="97"/>
      <c r="L22" s="98" t="n">
        <f aca="false">L21/J21-1</f>
        <v>0.32</v>
      </c>
      <c r="M22" s="97"/>
      <c r="N22" s="99" t="n">
        <f aca="false">N21/L21-1</f>
        <v>0.2375</v>
      </c>
      <c r="O22" s="97"/>
      <c r="P22" s="100"/>
      <c r="Q22" s="100"/>
      <c r="R22" s="100"/>
    </row>
    <row r="23" customFormat="false" ht="18" hidden="false" customHeight="true" outlineLevel="0" collapsed="false">
      <c r="A23" s="81"/>
      <c r="B23" s="52"/>
      <c r="C23" s="52"/>
      <c r="D23" s="52"/>
      <c r="E23" s="106"/>
      <c r="F23" s="32"/>
      <c r="G23" s="62"/>
      <c r="H23" s="62"/>
      <c r="I23" s="62"/>
      <c r="J23" s="62"/>
      <c r="K23" s="62"/>
      <c r="L23" s="62"/>
      <c r="M23" s="62"/>
      <c r="N23" s="107"/>
      <c r="O23" s="62"/>
    </row>
    <row r="24" customFormat="false" ht="12.75" hidden="false" customHeight="false" outlineLevel="0" collapsed="false">
      <c r="A24" s="81"/>
      <c r="B24" s="77" t="s">
        <v>64</v>
      </c>
      <c r="C24" s="77"/>
      <c r="D24" s="77"/>
      <c r="E24" s="84" t="n">
        <v>0.4</v>
      </c>
      <c r="F24" s="12" t="n">
        <f aca="false">'Market Size'!C20</f>
        <v>11155.6</v>
      </c>
      <c r="G24" s="79"/>
      <c r="H24" s="85" t="n">
        <f aca="false">F24*(1+$E24)</f>
        <v>15617.84</v>
      </c>
      <c r="I24" s="86"/>
      <c r="J24" s="85" t="n">
        <f aca="false">H24*(1+$E24)</f>
        <v>21864.976</v>
      </c>
      <c r="K24" s="86"/>
      <c r="L24" s="85" t="n">
        <f aca="false">J24*(1+$E24)</f>
        <v>30610.9664</v>
      </c>
      <c r="M24" s="86"/>
      <c r="N24" s="87" t="n">
        <f aca="false">L24*(1+$E24)</f>
        <v>42855.35296</v>
      </c>
      <c r="O24" s="86"/>
    </row>
    <row r="25" customFormat="false" ht="12.75" hidden="false" customHeight="false" outlineLevel="0" collapsed="false">
      <c r="A25" s="81"/>
      <c r="B25" s="77" t="s">
        <v>57</v>
      </c>
      <c r="C25" s="77"/>
      <c r="D25" s="77"/>
      <c r="E25" s="83"/>
      <c r="F25" s="89" t="n">
        <v>0.02</v>
      </c>
      <c r="G25" s="90"/>
      <c r="H25" s="89" t="n">
        <v>0.03</v>
      </c>
      <c r="I25" s="90"/>
      <c r="J25" s="89" t="n">
        <v>0.05</v>
      </c>
      <c r="K25" s="90"/>
      <c r="L25" s="89" t="n">
        <v>0.08</v>
      </c>
      <c r="M25" s="90"/>
      <c r="N25" s="91" t="n">
        <v>0.1</v>
      </c>
      <c r="O25" s="90"/>
    </row>
    <row r="26" customFormat="false" ht="12.75" hidden="false" customHeight="false" outlineLevel="0" collapsed="false">
      <c r="A26" s="81"/>
      <c r="B26" s="77" t="s">
        <v>65</v>
      </c>
      <c r="C26" s="77"/>
      <c r="D26" s="52"/>
      <c r="E26" s="106"/>
      <c r="F26" s="38" t="n">
        <f aca="false">F24*F25</f>
        <v>223.112</v>
      </c>
      <c r="G26" s="38"/>
      <c r="H26" s="38" t="n">
        <f aca="false">H24*H25</f>
        <v>468.5352</v>
      </c>
      <c r="I26" s="38"/>
      <c r="J26" s="38" t="n">
        <f aca="false">J24*J25</f>
        <v>1093.2488</v>
      </c>
      <c r="K26" s="38"/>
      <c r="L26" s="38" t="n">
        <f aca="false">L24*L25</f>
        <v>2448.877312</v>
      </c>
      <c r="M26" s="38"/>
      <c r="N26" s="93" t="n">
        <f aca="false">N24*N25</f>
        <v>4285.535296</v>
      </c>
      <c r="O26" s="38"/>
    </row>
    <row r="27" customFormat="false" ht="12" hidden="false" customHeight="false" outlineLevel="0" collapsed="false">
      <c r="A27" s="94"/>
      <c r="B27" s="95"/>
      <c r="C27" s="95" t="s">
        <v>59</v>
      </c>
      <c r="D27" s="95"/>
      <c r="E27" s="96"/>
      <c r="F27" s="95"/>
      <c r="G27" s="97"/>
      <c r="H27" s="98" t="n">
        <f aca="false">H26/F26-1</f>
        <v>1.1</v>
      </c>
      <c r="I27" s="97"/>
      <c r="J27" s="98" t="n">
        <f aca="false">J26/H26-1</f>
        <v>1.33333333333333</v>
      </c>
      <c r="K27" s="97"/>
      <c r="L27" s="98" t="n">
        <f aca="false">L26/J26-1</f>
        <v>1.24</v>
      </c>
      <c r="M27" s="97"/>
      <c r="N27" s="99" t="n">
        <f aca="false">N26/L26-1</f>
        <v>0.75</v>
      </c>
      <c r="O27" s="97"/>
      <c r="P27" s="100"/>
      <c r="Q27" s="100"/>
      <c r="R27" s="100"/>
    </row>
    <row r="28" customFormat="false" ht="15" hidden="false" customHeight="false" outlineLevel="0" collapsed="false">
      <c r="A28" s="81"/>
      <c r="B28" s="77" t="s">
        <v>66</v>
      </c>
      <c r="C28" s="77"/>
      <c r="D28" s="52"/>
      <c r="E28" s="84" t="n">
        <v>-0.15</v>
      </c>
      <c r="F28" s="101" t="n">
        <v>1500</v>
      </c>
      <c r="G28" s="38"/>
      <c r="H28" s="102" t="n">
        <f aca="false">F28*(1+$E28)</f>
        <v>1275</v>
      </c>
      <c r="I28" s="38"/>
      <c r="J28" s="102" t="n">
        <f aca="false">H28*(1+$E28)</f>
        <v>1083.75</v>
      </c>
      <c r="K28" s="38"/>
      <c r="L28" s="102" t="n">
        <f aca="false">J28*(1+$E28)</f>
        <v>921.1875</v>
      </c>
      <c r="M28" s="38"/>
      <c r="N28" s="103" t="n">
        <f aca="false">L28*(1+$E28)</f>
        <v>783.009375</v>
      </c>
      <c r="O28" s="38"/>
    </row>
    <row r="29" customFormat="false" ht="12.75" hidden="false" customHeight="false" outlineLevel="0" collapsed="false">
      <c r="A29" s="81"/>
      <c r="B29" s="77" t="s">
        <v>67</v>
      </c>
      <c r="C29" s="77"/>
      <c r="D29" s="52"/>
      <c r="E29" s="106"/>
      <c r="F29" s="104" t="n">
        <f aca="false">F26*F28/1000000</f>
        <v>0.334668</v>
      </c>
      <c r="G29" s="62"/>
      <c r="H29" s="104" t="n">
        <f aca="false">H26*H28/1000000</f>
        <v>0.59738238</v>
      </c>
      <c r="I29" s="62"/>
      <c r="J29" s="104" t="n">
        <f aca="false">J26*J28/1000000</f>
        <v>1.184808387</v>
      </c>
      <c r="K29" s="62"/>
      <c r="L29" s="104" t="n">
        <f aca="false">L26*L28/1000000</f>
        <v>2.255875168848</v>
      </c>
      <c r="M29" s="62"/>
      <c r="N29" s="105" t="n">
        <f aca="false">N26*N28/1000000</f>
        <v>3.3556143136614</v>
      </c>
      <c r="O29" s="62"/>
    </row>
    <row r="30" customFormat="false" ht="12" hidden="false" customHeight="false" outlineLevel="0" collapsed="false">
      <c r="A30" s="94"/>
      <c r="B30" s="95"/>
      <c r="C30" s="95" t="s">
        <v>59</v>
      </c>
      <c r="D30" s="95"/>
      <c r="E30" s="96"/>
      <c r="F30" s="95"/>
      <c r="G30" s="97"/>
      <c r="H30" s="98" t="n">
        <f aca="false">H29/F29-1</f>
        <v>0.785</v>
      </c>
      <c r="I30" s="97"/>
      <c r="J30" s="98" t="n">
        <f aca="false">J29/H29-1</f>
        <v>0.983333333333334</v>
      </c>
      <c r="K30" s="97"/>
      <c r="L30" s="98" t="n">
        <f aca="false">L29/J29-1</f>
        <v>0.904</v>
      </c>
      <c r="M30" s="97"/>
      <c r="N30" s="99" t="n">
        <f aca="false">N29/L29-1</f>
        <v>0.4875</v>
      </c>
      <c r="O30" s="97"/>
      <c r="P30" s="100"/>
      <c r="Q30" s="100"/>
      <c r="R30" s="100"/>
    </row>
    <row r="31" customFormat="false" ht="18" hidden="false" customHeight="true" outlineLevel="0" collapsed="false">
      <c r="A31" s="81"/>
      <c r="B31" s="52"/>
      <c r="C31" s="52"/>
      <c r="D31" s="52"/>
      <c r="E31" s="106"/>
      <c r="F31" s="32"/>
      <c r="G31" s="62"/>
      <c r="H31" s="62"/>
      <c r="I31" s="62"/>
      <c r="J31" s="62"/>
      <c r="K31" s="62"/>
      <c r="L31" s="62"/>
      <c r="M31" s="62"/>
      <c r="N31" s="107"/>
      <c r="O31" s="62"/>
    </row>
    <row r="32" customFormat="false" ht="12.75" hidden="false" customHeight="false" outlineLevel="0" collapsed="false">
      <c r="A32" s="81"/>
      <c r="B32" s="77" t="s">
        <v>68</v>
      </c>
      <c r="C32" s="77"/>
      <c r="D32" s="77"/>
      <c r="E32" s="84" t="n">
        <v>0.1</v>
      </c>
      <c r="F32" s="38" t="n">
        <f aca="false">'Market Size'!C25</f>
        <v>6823</v>
      </c>
      <c r="G32" s="79"/>
      <c r="H32" s="85" t="n">
        <f aca="false">F32*(1+$E32)</f>
        <v>7505.3</v>
      </c>
      <c r="I32" s="86"/>
      <c r="J32" s="85" t="n">
        <f aca="false">H32*(1+$E32)</f>
        <v>8255.83</v>
      </c>
      <c r="K32" s="86"/>
      <c r="L32" s="85" t="n">
        <f aca="false">J32*(1+$E32)</f>
        <v>9081.413</v>
      </c>
      <c r="M32" s="86"/>
      <c r="N32" s="87" t="n">
        <f aca="false">L32*(1+$E32)</f>
        <v>9989.5543</v>
      </c>
      <c r="O32" s="86"/>
    </row>
    <row r="33" customFormat="false" ht="12.75" hidden="false" customHeight="false" outlineLevel="0" collapsed="false">
      <c r="A33" s="81"/>
      <c r="B33" s="77" t="s">
        <v>57</v>
      </c>
      <c r="C33" s="77"/>
      <c r="D33" s="77"/>
      <c r="E33" s="83"/>
      <c r="F33" s="89" t="n">
        <v>0.03</v>
      </c>
      <c r="G33" s="90"/>
      <c r="H33" s="89" t="n">
        <v>0.05</v>
      </c>
      <c r="I33" s="90"/>
      <c r="J33" s="89" t="n">
        <v>0.07</v>
      </c>
      <c r="K33" s="90"/>
      <c r="L33" s="89" t="n">
        <v>0.09</v>
      </c>
      <c r="M33" s="89"/>
      <c r="N33" s="91" t="n">
        <v>0.11</v>
      </c>
      <c r="O33" s="89"/>
    </row>
    <row r="34" customFormat="false" ht="12.75" hidden="false" customHeight="false" outlineLevel="0" collapsed="false">
      <c r="A34" s="81"/>
      <c r="B34" s="77" t="s">
        <v>69</v>
      </c>
      <c r="C34" s="77"/>
      <c r="D34" s="52"/>
      <c r="E34" s="106"/>
      <c r="F34" s="38" t="n">
        <f aca="false">F32*F33</f>
        <v>204.69</v>
      </c>
      <c r="G34" s="38"/>
      <c r="H34" s="38" t="n">
        <f aca="false">H32*H33</f>
        <v>375.265</v>
      </c>
      <c r="I34" s="38"/>
      <c r="J34" s="38" t="n">
        <f aca="false">J32*J33</f>
        <v>577.9081</v>
      </c>
      <c r="K34" s="38"/>
      <c r="L34" s="38" t="n">
        <f aca="false">L32*L33</f>
        <v>817.32717</v>
      </c>
      <c r="M34" s="38"/>
      <c r="N34" s="93" t="n">
        <f aca="false">N32*N33</f>
        <v>1098.850973</v>
      </c>
      <c r="O34" s="38"/>
    </row>
    <row r="35" customFormat="false" ht="12" hidden="false" customHeight="false" outlineLevel="0" collapsed="false">
      <c r="A35" s="94"/>
      <c r="B35" s="95"/>
      <c r="C35" s="95" t="s">
        <v>59</v>
      </c>
      <c r="D35" s="95"/>
      <c r="E35" s="96"/>
      <c r="F35" s="95"/>
      <c r="G35" s="97"/>
      <c r="H35" s="98" t="n">
        <f aca="false">H34/F34-1</f>
        <v>0.833333333333334</v>
      </c>
      <c r="I35" s="97"/>
      <c r="J35" s="98" t="n">
        <f aca="false">J34/H34-1</f>
        <v>0.540000000000001</v>
      </c>
      <c r="K35" s="97"/>
      <c r="L35" s="98" t="n">
        <f aca="false">L34/J34-1</f>
        <v>0.414285714285714</v>
      </c>
      <c r="M35" s="97"/>
      <c r="N35" s="99" t="n">
        <f aca="false">N34/L34-1</f>
        <v>0.344444444444445</v>
      </c>
      <c r="O35" s="97"/>
      <c r="P35" s="100"/>
      <c r="Q35" s="100"/>
      <c r="R35" s="100"/>
    </row>
    <row r="36" customFormat="false" ht="15" hidden="false" customHeight="false" outlineLevel="0" collapsed="false">
      <c r="A36" s="81"/>
      <c r="B36" s="77" t="s">
        <v>70</v>
      </c>
      <c r="C36" s="77"/>
      <c r="D36" s="52"/>
      <c r="E36" s="84" t="n">
        <v>-0.15</v>
      </c>
      <c r="F36" s="101" t="n">
        <v>20000</v>
      </c>
      <c r="G36" s="38"/>
      <c r="H36" s="102" t="n">
        <f aca="false">F36*(1+$E36)</f>
        <v>17000</v>
      </c>
      <c r="I36" s="38"/>
      <c r="J36" s="102" t="n">
        <f aca="false">H36*(1+$E36)</f>
        <v>14450</v>
      </c>
      <c r="K36" s="38"/>
      <c r="L36" s="102" t="n">
        <f aca="false">J36*(1+$E36)</f>
        <v>12282.5</v>
      </c>
      <c r="M36" s="38"/>
      <c r="N36" s="103" t="n">
        <f aca="false">L36*(1+$E36)</f>
        <v>10440.125</v>
      </c>
      <c r="O36" s="38"/>
    </row>
    <row r="37" customFormat="false" ht="12.75" hidden="false" customHeight="false" outlineLevel="0" collapsed="false">
      <c r="A37" s="81"/>
      <c r="B37" s="77" t="s">
        <v>71</v>
      </c>
      <c r="C37" s="77"/>
      <c r="D37" s="52"/>
      <c r="E37" s="106"/>
      <c r="F37" s="104" t="n">
        <f aca="false">F34*F36/1000000</f>
        <v>4.0938</v>
      </c>
      <c r="G37" s="62"/>
      <c r="H37" s="104" t="n">
        <f aca="false">H34*H36/1000000</f>
        <v>6.379505</v>
      </c>
      <c r="I37" s="62"/>
      <c r="J37" s="104" t="n">
        <f aca="false">J34*J36/1000000</f>
        <v>8.350772045</v>
      </c>
      <c r="K37" s="62"/>
      <c r="L37" s="104" t="n">
        <f aca="false">L34*L36/1000000</f>
        <v>10.038820965525</v>
      </c>
      <c r="M37" s="104" t="n">
        <f aca="false">M34*M36/1000000</f>
        <v>0</v>
      </c>
      <c r="N37" s="105" t="n">
        <f aca="false">N34*N36/1000000</f>
        <v>11.4721415144916</v>
      </c>
      <c r="O37" s="104" t="n">
        <f aca="false">O34*O36/1000000</f>
        <v>0</v>
      </c>
    </row>
    <row r="38" customFormat="false" ht="12" hidden="false" customHeight="false" outlineLevel="0" collapsed="false">
      <c r="A38" s="94"/>
      <c r="B38" s="95"/>
      <c r="C38" s="95" t="s">
        <v>59</v>
      </c>
      <c r="D38" s="95"/>
      <c r="E38" s="96"/>
      <c r="F38" s="95"/>
      <c r="G38" s="97"/>
      <c r="H38" s="98" t="n">
        <f aca="false">H37/F37-1</f>
        <v>0.558333333333334</v>
      </c>
      <c r="I38" s="97"/>
      <c r="J38" s="98" t="n">
        <f aca="false">J37/H37-1</f>
        <v>0.309</v>
      </c>
      <c r="K38" s="97"/>
      <c r="L38" s="98" t="n">
        <f aca="false">L37/J37-1</f>
        <v>0.202142857142857</v>
      </c>
      <c r="M38" s="97"/>
      <c r="N38" s="99" t="n">
        <f aca="false">N37/L37-1</f>
        <v>0.142777777777778</v>
      </c>
      <c r="O38" s="97"/>
      <c r="P38" s="100"/>
      <c r="Q38" s="100"/>
      <c r="R38" s="100"/>
    </row>
    <row r="39" customFormat="false" ht="18" hidden="false" customHeight="true" outlineLevel="0" collapsed="false">
      <c r="A39" s="81"/>
      <c r="B39" s="52"/>
      <c r="C39" s="52"/>
      <c r="D39" s="52"/>
      <c r="E39" s="106"/>
      <c r="F39" s="32"/>
      <c r="G39" s="62"/>
      <c r="H39" s="62"/>
      <c r="I39" s="62"/>
      <c r="J39" s="62"/>
      <c r="K39" s="62"/>
      <c r="L39" s="62"/>
      <c r="M39" s="62"/>
      <c r="N39" s="107"/>
      <c r="O39" s="62"/>
    </row>
    <row r="40" customFormat="false" ht="12.75" hidden="false" customHeight="false" outlineLevel="0" collapsed="false">
      <c r="A40" s="81"/>
      <c r="B40" s="77" t="s">
        <v>72</v>
      </c>
      <c r="C40" s="77"/>
      <c r="D40" s="77"/>
      <c r="E40" s="84" t="n">
        <v>0.4</v>
      </c>
      <c r="F40" s="38" t="n">
        <f aca="false">'Market Size'!C30</f>
        <v>2067</v>
      </c>
      <c r="G40" s="79"/>
      <c r="H40" s="85" t="n">
        <f aca="false">F40*(1+$E40)</f>
        <v>2893.8</v>
      </c>
      <c r="I40" s="86"/>
      <c r="J40" s="85" t="n">
        <f aca="false">H40*(1+$E40)</f>
        <v>4051.32</v>
      </c>
      <c r="K40" s="86"/>
      <c r="L40" s="85" t="n">
        <f aca="false">J40*(1+$E40)</f>
        <v>5671.848</v>
      </c>
      <c r="M40" s="86"/>
      <c r="N40" s="87" t="n">
        <f aca="false">L40*(1+$E40)</f>
        <v>7940.5872</v>
      </c>
      <c r="O40" s="86"/>
    </row>
    <row r="41" customFormat="false" ht="12.75" hidden="false" customHeight="false" outlineLevel="0" collapsed="false">
      <c r="A41" s="81"/>
      <c r="B41" s="88" t="s">
        <v>57</v>
      </c>
      <c r="C41" s="88"/>
      <c r="D41" s="77"/>
      <c r="E41" s="83"/>
      <c r="F41" s="89" t="n">
        <v>0.04</v>
      </c>
      <c r="G41" s="90"/>
      <c r="H41" s="89" t="n">
        <v>0.06</v>
      </c>
      <c r="I41" s="90"/>
      <c r="J41" s="89" t="n">
        <v>0.08</v>
      </c>
      <c r="K41" s="90"/>
      <c r="L41" s="89" t="n">
        <v>0.1</v>
      </c>
      <c r="M41" s="90"/>
      <c r="N41" s="91" t="n">
        <v>0.12</v>
      </c>
      <c r="O41" s="90"/>
    </row>
    <row r="42" customFormat="false" ht="12.75" hidden="false" customHeight="false" outlineLevel="0" collapsed="false">
      <c r="A42" s="81"/>
      <c r="B42" s="77" t="s">
        <v>73</v>
      </c>
      <c r="C42" s="77"/>
      <c r="D42" s="52"/>
      <c r="E42" s="106"/>
      <c r="F42" s="38" t="n">
        <f aca="false">F41*F40</f>
        <v>82.68</v>
      </c>
      <c r="G42" s="12"/>
      <c r="H42" s="38" t="n">
        <f aca="false">H41*H40</f>
        <v>173.628</v>
      </c>
      <c r="I42" s="12"/>
      <c r="J42" s="38" t="n">
        <f aca="false">J41*J40</f>
        <v>324.1056</v>
      </c>
      <c r="K42" s="12"/>
      <c r="L42" s="38" t="n">
        <f aca="false">L41*L40</f>
        <v>567.1848</v>
      </c>
      <c r="M42" s="12"/>
      <c r="N42" s="93" t="n">
        <f aca="false">N41*N40</f>
        <v>952.870464</v>
      </c>
      <c r="O42" s="12"/>
    </row>
    <row r="43" customFormat="false" ht="12" hidden="false" customHeight="false" outlineLevel="0" collapsed="false">
      <c r="A43" s="94"/>
      <c r="B43" s="95"/>
      <c r="C43" s="95" t="s">
        <v>59</v>
      </c>
      <c r="D43" s="95"/>
      <c r="E43" s="96"/>
      <c r="F43" s="95"/>
      <c r="G43" s="97"/>
      <c r="H43" s="98" t="n">
        <f aca="false">H42/F42-1</f>
        <v>1.1</v>
      </c>
      <c r="I43" s="97"/>
      <c r="J43" s="98" t="n">
        <f aca="false">J42/H42-1</f>
        <v>0.866666666666667</v>
      </c>
      <c r="K43" s="97"/>
      <c r="L43" s="98" t="n">
        <f aca="false">L42/J42-1</f>
        <v>0.75</v>
      </c>
      <c r="M43" s="97"/>
      <c r="N43" s="99" t="n">
        <f aca="false">N42/L42-1</f>
        <v>0.68</v>
      </c>
      <c r="O43" s="97"/>
      <c r="P43" s="100"/>
      <c r="Q43" s="100"/>
      <c r="R43" s="100"/>
    </row>
    <row r="44" customFormat="false" ht="15" hidden="false" customHeight="false" outlineLevel="0" collapsed="false">
      <c r="A44" s="81"/>
      <c r="B44" s="77" t="s">
        <v>74</v>
      </c>
      <c r="C44" s="77"/>
      <c r="D44" s="52"/>
      <c r="E44" s="84" t="n">
        <v>-0.15</v>
      </c>
      <c r="F44" s="101" t="n">
        <v>12500</v>
      </c>
      <c r="G44" s="38"/>
      <c r="H44" s="102" t="n">
        <f aca="false">F44*(1+$E44)</f>
        <v>10625</v>
      </c>
      <c r="I44" s="38"/>
      <c r="J44" s="102" t="n">
        <f aca="false">H44*(1+$E44)</f>
        <v>9031.25</v>
      </c>
      <c r="K44" s="38"/>
      <c r="L44" s="102" t="n">
        <f aca="false">J44*(1+$E44)</f>
        <v>7676.5625</v>
      </c>
      <c r="M44" s="38"/>
      <c r="N44" s="103" t="n">
        <f aca="false">L44*(1+$E44)</f>
        <v>6525.078125</v>
      </c>
      <c r="O44" s="38"/>
    </row>
    <row r="45" customFormat="false" ht="12.75" hidden="false" customHeight="false" outlineLevel="0" collapsed="false">
      <c r="A45" s="81"/>
      <c r="B45" s="77" t="s">
        <v>75</v>
      </c>
      <c r="C45" s="77"/>
      <c r="D45" s="52"/>
      <c r="E45" s="106"/>
      <c r="F45" s="104" t="n">
        <f aca="false">F42*F44/1000000</f>
        <v>1.0335</v>
      </c>
      <c r="G45" s="62"/>
      <c r="H45" s="104" t="n">
        <f aca="false">H42*H44/1000000</f>
        <v>1.8447975</v>
      </c>
      <c r="I45" s="62"/>
      <c r="J45" s="104" t="n">
        <f aca="false">J42*J44/1000000</f>
        <v>2.9270787</v>
      </c>
      <c r="K45" s="62"/>
      <c r="L45" s="104" t="n">
        <f aca="false">L42*L44/1000000</f>
        <v>4.35402956625</v>
      </c>
      <c r="M45" s="62"/>
      <c r="N45" s="105" t="n">
        <f aca="false">N42*N44/1000000</f>
        <v>6.217554220605</v>
      </c>
      <c r="O45" s="62"/>
    </row>
    <row r="46" customFormat="false" ht="12" hidden="false" customHeight="false" outlineLevel="0" collapsed="false">
      <c r="A46" s="94"/>
      <c r="B46" s="95"/>
      <c r="C46" s="95" t="s">
        <v>59</v>
      </c>
      <c r="D46" s="95"/>
      <c r="E46" s="96"/>
      <c r="F46" s="95"/>
      <c r="G46" s="97"/>
      <c r="H46" s="98" t="n">
        <f aca="false">H45/F45-1</f>
        <v>0.785</v>
      </c>
      <c r="I46" s="97"/>
      <c r="J46" s="98" t="n">
        <f aca="false">J45/H45-1</f>
        <v>0.586666666666666</v>
      </c>
      <c r="K46" s="97"/>
      <c r="L46" s="98" t="n">
        <f aca="false">L45/J45-1</f>
        <v>0.4875</v>
      </c>
      <c r="M46" s="97"/>
      <c r="N46" s="99" t="n">
        <f aca="false">N45/L45-1</f>
        <v>0.428</v>
      </c>
      <c r="O46" s="97"/>
      <c r="P46" s="100"/>
      <c r="Q46" s="100"/>
      <c r="R46" s="100"/>
    </row>
    <row r="47" customFormat="false" ht="18" hidden="false" customHeight="true" outlineLevel="0" collapsed="false">
      <c r="A47" s="81"/>
      <c r="B47" s="52"/>
      <c r="C47" s="52"/>
      <c r="D47" s="52"/>
      <c r="E47" s="106"/>
      <c r="F47" s="32"/>
      <c r="G47" s="62"/>
      <c r="H47" s="62"/>
      <c r="I47" s="62"/>
      <c r="J47" s="62"/>
      <c r="K47" s="62"/>
      <c r="L47" s="62"/>
      <c r="M47" s="62"/>
      <c r="N47" s="107"/>
      <c r="O47" s="62"/>
    </row>
    <row r="48" customFormat="false" ht="12.75" hidden="false" customHeight="false" outlineLevel="0" collapsed="false">
      <c r="A48" s="81"/>
      <c r="B48" s="77" t="s">
        <v>76</v>
      </c>
      <c r="C48" s="77"/>
      <c r="D48" s="77"/>
      <c r="E48" s="84" t="n">
        <v>0.4</v>
      </c>
      <c r="F48" s="38" t="n">
        <f aca="false">'Market Size'!C35</f>
        <v>5056</v>
      </c>
      <c r="G48" s="79"/>
      <c r="H48" s="85" t="n">
        <f aca="false">F48*(1+$E48)</f>
        <v>7078.4</v>
      </c>
      <c r="I48" s="86"/>
      <c r="J48" s="85" t="n">
        <f aca="false">H48*(1+$E48)</f>
        <v>9909.76</v>
      </c>
      <c r="K48" s="86"/>
      <c r="L48" s="85" t="n">
        <f aca="false">J48*(1+$E48)</f>
        <v>13873.664</v>
      </c>
      <c r="M48" s="86"/>
      <c r="N48" s="87" t="n">
        <f aca="false">L48*(1+$E48)</f>
        <v>19423.1296</v>
      </c>
      <c r="O48" s="86"/>
    </row>
    <row r="49" customFormat="false" ht="12.75" hidden="false" customHeight="false" outlineLevel="0" collapsed="false">
      <c r="A49" s="81"/>
      <c r="B49" s="88" t="s">
        <v>57</v>
      </c>
      <c r="C49" s="88"/>
      <c r="D49" s="77"/>
      <c r="E49" s="83"/>
      <c r="F49" s="89" t="n">
        <v>0.01</v>
      </c>
      <c r="G49" s="90"/>
      <c r="H49" s="89" t="n">
        <v>0.03</v>
      </c>
      <c r="I49" s="90"/>
      <c r="J49" s="89" t="n">
        <v>0.06</v>
      </c>
      <c r="K49" s="90"/>
      <c r="L49" s="89" t="n">
        <v>0.08</v>
      </c>
      <c r="M49" s="90"/>
      <c r="N49" s="91" t="n">
        <v>0.1</v>
      </c>
      <c r="O49" s="90"/>
    </row>
    <row r="50" customFormat="false" ht="12.75" hidden="false" customHeight="false" outlineLevel="0" collapsed="false">
      <c r="A50" s="81"/>
      <c r="B50" s="77" t="s">
        <v>73</v>
      </c>
      <c r="C50" s="77"/>
      <c r="D50" s="52"/>
      <c r="E50" s="106"/>
      <c r="F50" s="38" t="n">
        <f aca="false">F49*F48</f>
        <v>50.56</v>
      </c>
      <c r="G50" s="12"/>
      <c r="H50" s="38" t="n">
        <f aca="false">H49*H48</f>
        <v>212.352</v>
      </c>
      <c r="I50" s="12"/>
      <c r="J50" s="38" t="n">
        <f aca="false">J49*J48</f>
        <v>594.5856</v>
      </c>
      <c r="K50" s="12"/>
      <c r="L50" s="38" t="n">
        <f aca="false">L49*L48</f>
        <v>1109.89312</v>
      </c>
      <c r="M50" s="12"/>
      <c r="N50" s="93" t="n">
        <f aca="false">N49*N48</f>
        <v>1942.31296</v>
      </c>
      <c r="O50" s="12"/>
    </row>
    <row r="51" customFormat="false" ht="12" hidden="false" customHeight="false" outlineLevel="0" collapsed="false">
      <c r="A51" s="94"/>
      <c r="B51" s="95"/>
      <c r="C51" s="95" t="s">
        <v>59</v>
      </c>
      <c r="D51" s="95"/>
      <c r="E51" s="96"/>
      <c r="F51" s="95"/>
      <c r="G51" s="97"/>
      <c r="H51" s="98" t="n">
        <f aca="false">H50/F50-1</f>
        <v>3.2</v>
      </c>
      <c r="I51" s="97"/>
      <c r="J51" s="98" t="n">
        <f aca="false">J50/H50-1</f>
        <v>1.8</v>
      </c>
      <c r="K51" s="97"/>
      <c r="L51" s="98" t="n">
        <f aca="false">L50/J50-1</f>
        <v>0.866666666666667</v>
      </c>
      <c r="M51" s="97"/>
      <c r="N51" s="99" t="n">
        <f aca="false">N50/L50-1</f>
        <v>0.75</v>
      </c>
      <c r="O51" s="97"/>
      <c r="P51" s="100"/>
      <c r="Q51" s="100"/>
      <c r="R51" s="100"/>
    </row>
    <row r="52" customFormat="false" ht="15" hidden="false" customHeight="false" outlineLevel="0" collapsed="false">
      <c r="A52" s="81"/>
      <c r="B52" s="77" t="s">
        <v>74</v>
      </c>
      <c r="C52" s="77"/>
      <c r="D52" s="52"/>
      <c r="E52" s="84" t="n">
        <v>-0.15</v>
      </c>
      <c r="F52" s="101" t="n">
        <v>12500</v>
      </c>
      <c r="G52" s="38"/>
      <c r="H52" s="102" t="n">
        <f aca="false">F52*(1+$E52)</f>
        <v>10625</v>
      </c>
      <c r="I52" s="38"/>
      <c r="J52" s="102" t="n">
        <f aca="false">H52*(1+$E52)</f>
        <v>9031.25</v>
      </c>
      <c r="K52" s="38"/>
      <c r="L52" s="102" t="n">
        <f aca="false">J52*(1+$E52)</f>
        <v>7676.5625</v>
      </c>
      <c r="M52" s="38"/>
      <c r="N52" s="103" t="n">
        <f aca="false">L52*(1+$E52)</f>
        <v>6525.078125</v>
      </c>
      <c r="O52" s="38"/>
    </row>
    <row r="53" customFormat="false" ht="12.75" hidden="false" customHeight="false" outlineLevel="0" collapsed="false">
      <c r="A53" s="81"/>
      <c r="B53" s="77" t="s">
        <v>77</v>
      </c>
      <c r="C53" s="77"/>
      <c r="D53" s="52"/>
      <c r="E53" s="106"/>
      <c r="F53" s="104" t="n">
        <f aca="false">F50*F52/1000000</f>
        <v>0.632</v>
      </c>
      <c r="G53" s="62"/>
      <c r="H53" s="104" t="n">
        <f aca="false">H50*H52/1000000</f>
        <v>2.25624</v>
      </c>
      <c r="I53" s="62"/>
      <c r="J53" s="104" t="n">
        <f aca="false">J50*J52/1000000</f>
        <v>5.3698512</v>
      </c>
      <c r="K53" s="62"/>
      <c r="L53" s="104" t="n">
        <f aca="false">L50*L52/1000000</f>
        <v>8.520163904</v>
      </c>
      <c r="M53" s="62"/>
      <c r="N53" s="105" t="n">
        <f aca="false">N50*N52/1000000</f>
        <v>12.6737438072</v>
      </c>
      <c r="O53" s="62"/>
    </row>
    <row r="54" customFormat="false" ht="12" hidden="false" customHeight="false" outlineLevel="0" collapsed="false">
      <c r="A54" s="94"/>
      <c r="B54" s="95"/>
      <c r="C54" s="95" t="s">
        <v>59</v>
      </c>
      <c r="D54" s="95"/>
      <c r="E54" s="96"/>
      <c r="F54" s="95"/>
      <c r="G54" s="97"/>
      <c r="H54" s="98" t="n">
        <f aca="false">H53/F53-1</f>
        <v>2.57</v>
      </c>
      <c r="I54" s="97"/>
      <c r="J54" s="98" t="n">
        <f aca="false">J53/H53-1</f>
        <v>1.38</v>
      </c>
      <c r="K54" s="97"/>
      <c r="L54" s="98" t="n">
        <f aca="false">L53/J53-1</f>
        <v>0.586666666666666</v>
      </c>
      <c r="M54" s="97"/>
      <c r="N54" s="99" t="n">
        <f aca="false">N53/L53-1</f>
        <v>0.4875</v>
      </c>
      <c r="O54" s="97"/>
      <c r="P54" s="100"/>
      <c r="Q54" s="100"/>
      <c r="R54" s="100"/>
    </row>
    <row r="55" customFormat="false" ht="12.75" hidden="false" customHeight="false" outlineLevel="0" collapsed="false">
      <c r="A55" s="81"/>
      <c r="B55" s="52"/>
      <c r="C55" s="52"/>
      <c r="D55" s="52"/>
      <c r="E55" s="106"/>
      <c r="F55" s="32"/>
      <c r="G55" s="62"/>
      <c r="H55" s="62"/>
      <c r="I55" s="62"/>
      <c r="J55" s="62"/>
      <c r="K55" s="62"/>
      <c r="L55" s="62"/>
      <c r="M55" s="62"/>
      <c r="N55" s="107"/>
      <c r="O55" s="62"/>
    </row>
    <row r="56" customFormat="false" ht="12.75" hidden="false" customHeight="false" outlineLevel="0" collapsed="false">
      <c r="A56" s="108"/>
      <c r="B56" s="109" t="s">
        <v>78</v>
      </c>
      <c r="C56" s="109"/>
      <c r="D56" s="109"/>
      <c r="E56" s="110"/>
      <c r="F56" s="111" t="n">
        <f aca="false">F13+F21+F29+F37+F45+F53</f>
        <v>9.674168</v>
      </c>
      <c r="G56" s="112"/>
      <c r="H56" s="111" t="n">
        <f aca="false">H13+H21+H29+H37+H45+H53</f>
        <v>17.39090288</v>
      </c>
      <c r="I56" s="112"/>
      <c r="J56" s="111" t="n">
        <f aca="false">J13+J21+J29+J37+J45+J53</f>
        <v>25.164637784</v>
      </c>
      <c r="K56" s="112"/>
      <c r="L56" s="111" t="n">
        <f aca="false">L13+L21+L29+L37+L45+L53</f>
        <v>36.312111031523</v>
      </c>
      <c r="M56" s="112"/>
      <c r="N56" s="113" t="n">
        <f aca="false">N13+N21+N29+N37+N45+N53</f>
        <v>46.9998754949837</v>
      </c>
      <c r="O56" s="112"/>
      <c r="P56" s="114" t="e">
        <f aca="false">'Income Statement and Valuation'!J52</f>
        <v>#VALUE!</v>
      </c>
      <c r="Q56" s="15"/>
      <c r="R56" s="15"/>
    </row>
    <row r="57" customFormat="false" ht="17.25" hidden="false" customHeight="true" outlineLevel="0" collapsed="false">
      <c r="A57" s="115"/>
      <c r="B57" s="116"/>
      <c r="C57" s="116" t="s">
        <v>59</v>
      </c>
      <c r="D57" s="116"/>
      <c r="E57" s="117"/>
      <c r="F57" s="116"/>
      <c r="G57" s="118"/>
      <c r="H57" s="119" t="n">
        <f aca="false">H56/F56-1</f>
        <v>0.797663931409916</v>
      </c>
      <c r="I57" s="118"/>
      <c r="J57" s="119" t="n">
        <f aca="false">J56/H56-1</f>
        <v>0.447000075708548</v>
      </c>
      <c r="K57" s="118"/>
      <c r="L57" s="119" t="n">
        <f aca="false">L56/J56-1</f>
        <v>0.442981669086876</v>
      </c>
      <c r="M57" s="118"/>
      <c r="N57" s="120" t="n">
        <f aca="false">N56/L56-1</f>
        <v>0.294330573460256</v>
      </c>
      <c r="O57" s="97"/>
      <c r="P57" s="100"/>
      <c r="Q57" s="100"/>
      <c r="R57" s="100"/>
    </row>
    <row r="58" customFormat="false" ht="15.75" hidden="false" customHeight="false" outlineLevel="0" collapsed="false">
      <c r="A58" s="121" t="s">
        <v>79</v>
      </c>
      <c r="B58" s="70"/>
      <c r="C58" s="70"/>
      <c r="D58" s="70"/>
      <c r="E58" s="122"/>
      <c r="F58" s="123"/>
      <c r="G58" s="124"/>
      <c r="H58" s="124"/>
      <c r="I58" s="124"/>
      <c r="J58" s="124"/>
      <c r="K58" s="124"/>
      <c r="L58" s="124"/>
      <c r="M58" s="124"/>
      <c r="N58" s="125"/>
      <c r="O58" s="62"/>
    </row>
    <row r="59" customFormat="false" ht="12.75" hidden="false" customHeight="false" outlineLevel="0" collapsed="false">
      <c r="A59" s="81"/>
      <c r="C59" s="82"/>
      <c r="D59" s="77"/>
      <c r="E59" s="92"/>
      <c r="F59" s="126"/>
      <c r="G59" s="112"/>
      <c r="H59" s="112"/>
      <c r="I59" s="112"/>
      <c r="J59" s="112"/>
      <c r="K59" s="112"/>
      <c r="L59" s="112"/>
      <c r="M59" s="112"/>
      <c r="N59" s="127"/>
      <c r="O59" s="112"/>
    </row>
    <row r="60" customFormat="false" ht="12.75" hidden="false" customHeight="false" outlineLevel="0" collapsed="false">
      <c r="A60" s="81"/>
      <c r="B60" s="82" t="s">
        <v>80</v>
      </c>
      <c r="C60" s="82"/>
      <c r="D60" s="77"/>
      <c r="E60" s="92"/>
      <c r="F60" s="126"/>
      <c r="G60" s="112"/>
      <c r="H60" s="112"/>
      <c r="I60" s="112"/>
      <c r="J60" s="112"/>
      <c r="K60" s="112"/>
      <c r="L60" s="112"/>
      <c r="M60" s="112"/>
      <c r="N60" s="127"/>
      <c r="O60" s="112"/>
    </row>
    <row r="61" customFormat="false" ht="12" hidden="false" customHeight="false" outlineLevel="0" collapsed="false">
      <c r="A61" s="128"/>
      <c r="B61" s="129"/>
      <c r="C61" s="129" t="s">
        <v>81</v>
      </c>
      <c r="D61" s="130"/>
      <c r="E61" s="131"/>
      <c r="F61" s="132" t="n">
        <v>8</v>
      </c>
      <c r="G61" s="132"/>
      <c r="H61" s="132" t="n">
        <v>15</v>
      </c>
      <c r="I61" s="132"/>
      <c r="J61" s="132" t="n">
        <v>20</v>
      </c>
      <c r="K61" s="132"/>
      <c r="L61" s="132" t="n">
        <v>25</v>
      </c>
      <c r="M61" s="132"/>
      <c r="N61" s="133" t="n">
        <v>30</v>
      </c>
      <c r="O61" s="132"/>
      <c r="P61" s="134"/>
      <c r="Q61" s="134"/>
      <c r="R61" s="134"/>
    </row>
    <row r="62" customFormat="false" ht="14.25" hidden="false" customHeight="false" outlineLevel="0" collapsed="false">
      <c r="A62" s="128"/>
      <c r="B62" s="129"/>
      <c r="C62" s="129" t="s">
        <v>82</v>
      </c>
      <c r="D62" s="130"/>
      <c r="E62" s="135" t="n">
        <v>0.1</v>
      </c>
      <c r="F62" s="136" t="n">
        <v>0.175</v>
      </c>
      <c r="G62" s="137"/>
      <c r="H62" s="138" t="n">
        <f aca="false">F62*(1+$E62)</f>
        <v>0.1925</v>
      </c>
      <c r="I62" s="137"/>
      <c r="J62" s="138" t="n">
        <f aca="false">H62*(1+$E62)</f>
        <v>0.21175</v>
      </c>
      <c r="K62" s="137"/>
      <c r="L62" s="138" t="n">
        <f aca="false">J62*(1+$E62)</f>
        <v>0.232925</v>
      </c>
      <c r="M62" s="137"/>
      <c r="N62" s="139" t="n">
        <f aca="false">L62*(1+$E62)</f>
        <v>0.2562175</v>
      </c>
      <c r="O62" s="137"/>
      <c r="P62" s="134"/>
      <c r="Q62" s="134"/>
      <c r="R62" s="134"/>
    </row>
    <row r="63" customFormat="false" ht="12" hidden="false" customHeight="false" outlineLevel="0" collapsed="false">
      <c r="A63" s="140"/>
      <c r="B63" s="141"/>
      <c r="C63" s="129" t="s">
        <v>83</v>
      </c>
      <c r="D63" s="142"/>
      <c r="E63" s="143"/>
      <c r="F63" s="144" t="n">
        <f aca="false">-F61*F62</f>
        <v>-1.4</v>
      </c>
      <c r="G63" s="145"/>
      <c r="H63" s="144" t="n">
        <f aca="false">-H61*H62</f>
        <v>-2.8875</v>
      </c>
      <c r="I63" s="145"/>
      <c r="J63" s="144" t="n">
        <f aca="false">-J61*J62</f>
        <v>-4.235</v>
      </c>
      <c r="K63" s="145"/>
      <c r="L63" s="144" t="n">
        <f aca="false">-L61*L62</f>
        <v>-5.823125</v>
      </c>
      <c r="M63" s="145"/>
      <c r="N63" s="146" t="n">
        <f aca="false">-N61*N62</f>
        <v>-7.686525</v>
      </c>
      <c r="O63" s="145"/>
      <c r="P63" s="147"/>
      <c r="Q63" s="147"/>
      <c r="R63" s="147"/>
    </row>
    <row r="64" customFormat="false" ht="12.75" hidden="false" customHeight="false" outlineLevel="0" collapsed="false">
      <c r="A64" s="140"/>
      <c r="B64" s="141"/>
      <c r="C64" s="130" t="s">
        <v>84</v>
      </c>
      <c r="D64" s="142"/>
      <c r="E64" s="135" t="n">
        <v>0.1</v>
      </c>
      <c r="F64" s="148" t="n">
        <f aca="false">-0.2*F61</f>
        <v>-1.6</v>
      </c>
      <c r="G64" s="145"/>
      <c r="H64" s="148" t="n">
        <f aca="false">0.2*-H61</f>
        <v>-3</v>
      </c>
      <c r="I64" s="145"/>
      <c r="J64" s="149" t="n">
        <f aca="false">H64*(1+$E64)</f>
        <v>-3.3</v>
      </c>
      <c r="K64" s="145"/>
      <c r="L64" s="149" t="n">
        <f aca="false">J64*(1+$E64)</f>
        <v>-3.63</v>
      </c>
      <c r="M64" s="145"/>
      <c r="N64" s="150" t="n">
        <f aca="false">L64*(1+$E64)</f>
        <v>-3.993</v>
      </c>
      <c r="O64" s="145"/>
      <c r="P64" s="147"/>
      <c r="Q64" s="147"/>
      <c r="R64" s="147"/>
    </row>
    <row r="65" customFormat="false" ht="12.75" hidden="false" customHeight="false" outlineLevel="0" collapsed="false">
      <c r="A65" s="140"/>
      <c r="B65" s="141"/>
      <c r="C65" s="130" t="s">
        <v>85</v>
      </c>
      <c r="D65" s="142"/>
      <c r="E65" s="135" t="n">
        <v>0.25</v>
      </c>
      <c r="F65" s="148" t="n">
        <v>-0.3</v>
      </c>
      <c r="G65" s="145"/>
      <c r="H65" s="148" t="n">
        <v>-0.8</v>
      </c>
      <c r="I65" s="145"/>
      <c r="J65" s="149" t="n">
        <f aca="false">H65*(1+$E65)</f>
        <v>-1</v>
      </c>
      <c r="K65" s="145"/>
      <c r="L65" s="149" t="n">
        <f aca="false">J65*(1+$E65)</f>
        <v>-1.25</v>
      </c>
      <c r="M65" s="145"/>
      <c r="N65" s="150" t="n">
        <f aca="false">L65*(1+$E65)</f>
        <v>-1.5625</v>
      </c>
      <c r="O65" s="145"/>
      <c r="P65" s="147"/>
      <c r="Q65" s="147"/>
      <c r="R65" s="147"/>
    </row>
    <row r="66" customFormat="false" ht="12.75" hidden="false" customHeight="false" outlineLevel="0" collapsed="false">
      <c r="A66" s="140"/>
      <c r="B66" s="141"/>
      <c r="C66" s="130" t="s">
        <v>86</v>
      </c>
      <c r="D66" s="142"/>
      <c r="E66" s="135" t="n">
        <v>0.1</v>
      </c>
      <c r="F66" s="148" t="n">
        <v>-0.2</v>
      </c>
      <c r="G66" s="145"/>
      <c r="H66" s="148" t="n">
        <v>-0.5</v>
      </c>
      <c r="I66" s="145"/>
      <c r="J66" s="149" t="n">
        <f aca="false">H66*(1+$E66)</f>
        <v>-0.55</v>
      </c>
      <c r="K66" s="145"/>
      <c r="L66" s="149" t="n">
        <f aca="false">J66*(1+$E66)</f>
        <v>-0.605</v>
      </c>
      <c r="M66" s="145"/>
      <c r="N66" s="150" t="n">
        <f aca="false">L66*(1+$E66)</f>
        <v>-0.6655</v>
      </c>
      <c r="O66" s="145"/>
      <c r="P66" s="147"/>
      <c r="Q66" s="147"/>
      <c r="R66" s="147"/>
    </row>
    <row r="67" customFormat="false" ht="15" hidden="false" customHeight="false" outlineLevel="0" collapsed="false">
      <c r="A67" s="140"/>
      <c r="B67" s="141"/>
      <c r="C67" s="130" t="s">
        <v>87</v>
      </c>
      <c r="D67" s="142"/>
      <c r="E67" s="135" t="n">
        <v>0.25</v>
      </c>
      <c r="F67" s="151" t="n">
        <v>-1</v>
      </c>
      <c r="G67" s="152"/>
      <c r="H67" s="151" t="n">
        <v>-1.2</v>
      </c>
      <c r="I67" s="152"/>
      <c r="J67" s="153" t="n">
        <f aca="false">H67*(1+$E67)</f>
        <v>-1.5</v>
      </c>
      <c r="K67" s="152"/>
      <c r="L67" s="153" t="n">
        <f aca="false">J67*(1+$E67)</f>
        <v>-1.875</v>
      </c>
      <c r="M67" s="152"/>
      <c r="N67" s="154" t="n">
        <f aca="false">L67*(1+$E67)</f>
        <v>-2.34375</v>
      </c>
      <c r="O67" s="152"/>
      <c r="P67" s="147"/>
      <c r="Q67" s="147"/>
      <c r="R67" s="147"/>
    </row>
    <row r="68" customFormat="false" ht="12.75" hidden="false" customHeight="false" outlineLevel="0" collapsed="false">
      <c r="A68" s="155"/>
      <c r="B68" s="52" t="s">
        <v>88</v>
      </c>
      <c r="C68" s="52"/>
      <c r="D68" s="52"/>
      <c r="E68" s="84"/>
      <c r="F68" s="149" t="n">
        <f aca="false">SUM(F64:F67)+F63</f>
        <v>-4.5</v>
      </c>
      <c r="G68" s="149"/>
      <c r="H68" s="149" t="n">
        <f aca="false">SUM(H64:H67)+H63</f>
        <v>-8.3875</v>
      </c>
      <c r="I68" s="149"/>
      <c r="J68" s="149" t="n">
        <f aca="false">SUM(J64:J67)+J63</f>
        <v>-10.585</v>
      </c>
      <c r="K68" s="149"/>
      <c r="L68" s="149" t="n">
        <f aca="false">SUM(L64:L67)+L63</f>
        <v>-13.183125</v>
      </c>
      <c r="M68" s="149"/>
      <c r="N68" s="150" t="n">
        <f aca="false">SUM(N64:N67)+N63</f>
        <v>-16.251275</v>
      </c>
      <c r="O68" s="149"/>
    </row>
    <row r="69" customFormat="false" ht="12.75" hidden="false" customHeight="false" outlineLevel="0" collapsed="false">
      <c r="A69" s="155"/>
      <c r="B69" s="52" t="s">
        <v>89</v>
      </c>
      <c r="C69" s="52"/>
      <c r="D69" s="52"/>
      <c r="E69" s="84" t="n">
        <v>0.25</v>
      </c>
      <c r="F69" s="156" t="n">
        <v>-0.75</v>
      </c>
      <c r="G69" s="149"/>
      <c r="H69" s="156" t="n">
        <v>-0.8</v>
      </c>
      <c r="I69" s="149"/>
      <c r="J69" s="149" t="n">
        <f aca="false">H69*(1+$E69)</f>
        <v>-1</v>
      </c>
      <c r="K69" s="149"/>
      <c r="L69" s="149" t="n">
        <f aca="false">J69*(1+$E69)</f>
        <v>-1.25</v>
      </c>
      <c r="M69" s="149"/>
      <c r="N69" s="150" t="n">
        <f aca="false">L69*(1+$E69)</f>
        <v>-1.5625</v>
      </c>
      <c r="O69" s="149"/>
    </row>
    <row r="70" customFormat="false" ht="12.75" hidden="false" customHeight="false" outlineLevel="0" collapsed="false">
      <c r="A70" s="155"/>
      <c r="B70" s="52" t="s">
        <v>90</v>
      </c>
      <c r="C70" s="52"/>
      <c r="D70" s="52"/>
      <c r="E70" s="84" t="n">
        <v>0.2</v>
      </c>
      <c r="F70" s="156" t="n">
        <v>0</v>
      </c>
      <c r="G70" s="157"/>
      <c r="H70" s="158" t="n">
        <v>-0.25</v>
      </c>
      <c r="I70" s="157"/>
      <c r="J70" s="159" t="n">
        <f aca="false">H70*(1+$E70)</f>
        <v>-0.3</v>
      </c>
      <c r="K70" s="160"/>
      <c r="L70" s="159" t="n">
        <f aca="false">J70*(1+$E70)</f>
        <v>-0.36</v>
      </c>
      <c r="M70" s="160"/>
      <c r="N70" s="161" t="n">
        <f aca="false">L70*(1+$E70)</f>
        <v>-0.432</v>
      </c>
      <c r="O70" s="160"/>
    </row>
    <row r="71" customFormat="false" ht="5.25" hidden="false" customHeight="true" outlineLevel="0" collapsed="false">
      <c r="A71" s="155"/>
      <c r="B71" s="52"/>
      <c r="C71" s="52"/>
      <c r="D71" s="52"/>
      <c r="E71" s="84"/>
      <c r="F71" s="156"/>
      <c r="G71" s="157"/>
      <c r="H71" s="158"/>
      <c r="I71" s="157"/>
      <c r="J71" s="159"/>
      <c r="K71" s="160"/>
      <c r="L71" s="159"/>
      <c r="M71" s="160"/>
      <c r="N71" s="161"/>
      <c r="O71" s="160"/>
    </row>
    <row r="72" customFormat="false" ht="12" hidden="false" customHeight="false" outlineLevel="0" collapsed="false">
      <c r="A72" s="128"/>
      <c r="B72" s="129"/>
      <c r="C72" s="129" t="s">
        <v>91</v>
      </c>
      <c r="D72" s="130"/>
      <c r="E72" s="131"/>
      <c r="F72" s="132" t="n">
        <v>12</v>
      </c>
      <c r="G72" s="132"/>
      <c r="H72" s="132" t="n">
        <v>15</v>
      </c>
      <c r="I72" s="132"/>
      <c r="J72" s="132" t="n">
        <v>15</v>
      </c>
      <c r="K72" s="132"/>
      <c r="L72" s="132" t="n">
        <v>15</v>
      </c>
      <c r="M72" s="132"/>
      <c r="N72" s="133" t="n">
        <v>15</v>
      </c>
      <c r="O72" s="132"/>
      <c r="P72" s="134"/>
      <c r="Q72" s="134"/>
      <c r="R72" s="134"/>
    </row>
    <row r="73" customFormat="false" ht="14.25" hidden="false" customHeight="false" outlineLevel="0" collapsed="false">
      <c r="A73" s="128"/>
      <c r="B73" s="129"/>
      <c r="C73" s="129" t="s">
        <v>92</v>
      </c>
      <c r="D73" s="130"/>
      <c r="E73" s="135" t="n">
        <v>0.1</v>
      </c>
      <c r="F73" s="136" t="n">
        <v>0.2</v>
      </c>
      <c r="G73" s="137"/>
      <c r="H73" s="138" t="n">
        <f aca="false">F73*(1+$E73)</f>
        <v>0.22</v>
      </c>
      <c r="I73" s="137"/>
      <c r="J73" s="138" t="n">
        <f aca="false">H73*(1+$E73)</f>
        <v>0.242</v>
      </c>
      <c r="K73" s="137"/>
      <c r="L73" s="138" t="n">
        <f aca="false">J73*(1+$E73)</f>
        <v>0.2662</v>
      </c>
      <c r="M73" s="137"/>
      <c r="N73" s="139" t="n">
        <f aca="false">L73*(1+$E73)</f>
        <v>0.29282</v>
      </c>
      <c r="O73" s="137"/>
      <c r="P73" s="134"/>
      <c r="Q73" s="134"/>
      <c r="R73" s="134"/>
    </row>
    <row r="74" customFormat="false" ht="15.75" hidden="false" customHeight="false" outlineLevel="0" collapsed="false">
      <c r="A74" s="155"/>
      <c r="B74" s="52" t="s">
        <v>93</v>
      </c>
      <c r="C74" s="52"/>
      <c r="D74" s="52"/>
      <c r="E74" s="84"/>
      <c r="F74" s="149" t="n">
        <f aca="false">-F72*F73</f>
        <v>-2.4</v>
      </c>
      <c r="G74" s="149"/>
      <c r="H74" s="149" t="n">
        <f aca="false">-H72*H73</f>
        <v>-3.3</v>
      </c>
      <c r="I74" s="149"/>
      <c r="J74" s="149" t="n">
        <f aca="false">-J72*J73</f>
        <v>-3.63</v>
      </c>
      <c r="K74" s="149"/>
      <c r="L74" s="149" t="n">
        <f aca="false">-L72*L73</f>
        <v>-3.993</v>
      </c>
      <c r="M74" s="149"/>
      <c r="N74" s="150" t="n">
        <f aca="false">-N72*N73</f>
        <v>-4.3923</v>
      </c>
      <c r="O74" s="149"/>
      <c r="AB74" s="11"/>
    </row>
    <row r="75" customFormat="false" ht="12" hidden="false" customHeight="false" outlineLevel="0" collapsed="false">
      <c r="A75" s="128"/>
      <c r="B75" s="129"/>
      <c r="C75" s="129" t="s">
        <v>94</v>
      </c>
      <c r="D75" s="129"/>
      <c r="E75" s="135"/>
      <c r="F75" s="132" t="n">
        <v>9</v>
      </c>
      <c r="G75" s="132"/>
      <c r="H75" s="132" t="n">
        <v>12</v>
      </c>
      <c r="I75" s="132"/>
      <c r="J75" s="132" t="n">
        <v>15</v>
      </c>
      <c r="K75" s="132"/>
      <c r="L75" s="132" t="n">
        <v>17</v>
      </c>
      <c r="M75" s="132"/>
      <c r="N75" s="133" t="n">
        <v>20</v>
      </c>
      <c r="O75" s="162"/>
      <c r="P75" s="134"/>
      <c r="Q75" s="134"/>
      <c r="R75" s="134"/>
      <c r="AB75" s="163"/>
    </row>
    <row r="76" customFormat="false" ht="15.75" hidden="false" customHeight="false" outlineLevel="0" collapsed="false">
      <c r="A76" s="155"/>
      <c r="B76" s="52" t="s">
        <v>95</v>
      </c>
      <c r="C76" s="52"/>
      <c r="D76" s="52"/>
      <c r="E76" s="135" t="n">
        <v>0.15</v>
      </c>
      <c r="F76" s="156" t="n">
        <v>-1</v>
      </c>
      <c r="G76" s="149"/>
      <c r="H76" s="156" t="n">
        <v>-1.25</v>
      </c>
      <c r="I76" s="149"/>
      <c r="J76" s="149" t="n">
        <f aca="false">H76*(1+$E76)</f>
        <v>-1.4375</v>
      </c>
      <c r="K76" s="149"/>
      <c r="L76" s="149" t="n">
        <f aca="false">J76*(1+$E76)</f>
        <v>-1.653125</v>
      </c>
      <c r="M76" s="149"/>
      <c r="N76" s="150" t="n">
        <f aca="false">L76*(1+$E76)</f>
        <v>-1.90109375</v>
      </c>
      <c r="O76" s="149"/>
      <c r="AB76" s="11"/>
    </row>
    <row r="77" customFormat="false" ht="5.25" hidden="false" customHeight="true" outlineLevel="0" collapsed="false">
      <c r="A77" s="155"/>
      <c r="B77" s="52"/>
      <c r="C77" s="52"/>
      <c r="D77" s="52"/>
      <c r="E77" s="84"/>
      <c r="F77" s="156"/>
      <c r="G77" s="157"/>
      <c r="H77" s="158"/>
      <c r="I77" s="157"/>
      <c r="J77" s="159"/>
      <c r="K77" s="160"/>
      <c r="L77" s="159"/>
      <c r="M77" s="160"/>
      <c r="N77" s="161"/>
      <c r="O77" s="160"/>
    </row>
    <row r="78" customFormat="false" ht="12.75" hidden="false" customHeight="false" outlineLevel="0" collapsed="false">
      <c r="A78" s="155"/>
      <c r="B78" s="52"/>
      <c r="C78" s="129" t="s">
        <v>96</v>
      </c>
      <c r="D78" s="52"/>
      <c r="E78" s="84"/>
      <c r="F78" s="132" t="n">
        <v>4</v>
      </c>
      <c r="G78" s="132"/>
      <c r="H78" s="132" t="n">
        <v>4</v>
      </c>
      <c r="I78" s="132"/>
      <c r="J78" s="132" t="n">
        <v>4</v>
      </c>
      <c r="K78" s="132"/>
      <c r="L78" s="132" t="n">
        <v>4</v>
      </c>
      <c r="M78" s="132"/>
      <c r="N78" s="133" t="n">
        <v>4</v>
      </c>
      <c r="O78" s="160"/>
    </row>
    <row r="79" customFormat="false" ht="12" hidden="false" customHeight="false" outlineLevel="0" collapsed="false">
      <c r="A79" s="128"/>
      <c r="B79" s="129"/>
      <c r="C79" s="129" t="s">
        <v>97</v>
      </c>
      <c r="D79" s="129"/>
      <c r="E79" s="135" t="n">
        <v>0.1</v>
      </c>
      <c r="F79" s="164" t="n">
        <f aca="false">-(0.25+0.4+0.3+0.25)</f>
        <v>-1.2</v>
      </c>
      <c r="G79" s="162"/>
      <c r="H79" s="162" t="n">
        <f aca="false">F79*(1+$E79)</f>
        <v>-1.32</v>
      </c>
      <c r="I79" s="162"/>
      <c r="J79" s="162" t="n">
        <f aca="false">H79*(1+$E79)</f>
        <v>-1.452</v>
      </c>
      <c r="K79" s="162"/>
      <c r="L79" s="162" t="n">
        <f aca="false">J79*(1+$E79)</f>
        <v>-1.5972</v>
      </c>
      <c r="M79" s="162"/>
      <c r="N79" s="165" t="n">
        <f aca="false">L79*(1+$E79)</f>
        <v>-1.75692</v>
      </c>
      <c r="O79" s="162"/>
      <c r="P79" s="134"/>
      <c r="Q79" s="134"/>
      <c r="R79" s="134"/>
      <c r="AB79" s="163"/>
    </row>
    <row r="80" customFormat="false" ht="12" hidden="false" customHeight="false" outlineLevel="0" collapsed="false">
      <c r="A80" s="128"/>
      <c r="B80" s="129"/>
      <c r="C80" s="129" t="s">
        <v>98</v>
      </c>
      <c r="D80" s="129"/>
      <c r="E80" s="135" t="n">
        <v>0.1</v>
      </c>
      <c r="F80" s="164" t="n">
        <v>-0.5</v>
      </c>
      <c r="G80" s="162"/>
      <c r="H80" s="164" t="n">
        <v>-0.5</v>
      </c>
      <c r="I80" s="162"/>
      <c r="J80" s="162" t="n">
        <f aca="false">H80*(1+$E80)</f>
        <v>-0.55</v>
      </c>
      <c r="K80" s="162"/>
      <c r="L80" s="162" t="n">
        <f aca="false">J80*(1+$E80)</f>
        <v>-0.605</v>
      </c>
      <c r="M80" s="162"/>
      <c r="N80" s="165" t="n">
        <f aca="false">L80*(1+$E80)</f>
        <v>-0.6655</v>
      </c>
      <c r="O80" s="162"/>
      <c r="P80" s="134"/>
      <c r="Q80" s="134"/>
      <c r="R80" s="134"/>
      <c r="AB80" s="163"/>
    </row>
    <row r="81" customFormat="false" ht="12" hidden="false" customHeight="false" outlineLevel="0" collapsed="false">
      <c r="A81" s="128"/>
      <c r="B81" s="129"/>
      <c r="C81" s="129" t="s">
        <v>99</v>
      </c>
      <c r="D81" s="129"/>
      <c r="E81" s="135"/>
      <c r="F81" s="132" t="n">
        <v>2</v>
      </c>
      <c r="G81" s="132"/>
      <c r="H81" s="132" t="n">
        <v>2</v>
      </c>
      <c r="I81" s="132"/>
      <c r="J81" s="132" t="n">
        <v>3</v>
      </c>
      <c r="K81" s="132"/>
      <c r="L81" s="132" t="n">
        <v>3</v>
      </c>
      <c r="M81" s="132"/>
      <c r="N81" s="133" t="n">
        <v>3</v>
      </c>
      <c r="O81" s="162"/>
      <c r="P81" s="134"/>
      <c r="Q81" s="134"/>
      <c r="R81" s="134"/>
      <c r="AB81" s="163"/>
    </row>
    <row r="82" customFormat="false" ht="14.25" hidden="false" customHeight="false" outlineLevel="0" collapsed="false">
      <c r="A82" s="128"/>
      <c r="B82" s="129"/>
      <c r="C82" s="129" t="s">
        <v>100</v>
      </c>
      <c r="D82" s="129"/>
      <c r="E82" s="135" t="n">
        <v>0.1</v>
      </c>
      <c r="F82" s="151" t="n">
        <v>-0.5</v>
      </c>
      <c r="G82" s="166"/>
      <c r="H82" s="166" t="n">
        <f aca="false">F82*(1+$E82)</f>
        <v>-0.55</v>
      </c>
      <c r="I82" s="166"/>
      <c r="J82" s="166" t="n">
        <f aca="false">H82*(1+$E82)</f>
        <v>-0.605</v>
      </c>
      <c r="K82" s="166"/>
      <c r="L82" s="166" t="n">
        <f aca="false">J82*(1+$E82)</f>
        <v>-0.6655</v>
      </c>
      <c r="M82" s="166"/>
      <c r="N82" s="167" t="n">
        <f aca="false">L82*(1+$E82)</f>
        <v>-0.73205</v>
      </c>
      <c r="O82" s="166"/>
      <c r="P82" s="134"/>
      <c r="Q82" s="134"/>
      <c r="R82" s="134"/>
      <c r="AB82" s="163"/>
    </row>
    <row r="83" customFormat="false" ht="15" hidden="false" customHeight="false" outlineLevel="0" collapsed="false">
      <c r="A83" s="155"/>
      <c r="B83" s="52" t="s">
        <v>101</v>
      </c>
      <c r="C83" s="52"/>
      <c r="D83" s="52"/>
      <c r="E83" s="106"/>
      <c r="F83" s="153" t="n">
        <f aca="false">F79+SUM(F80)+F82</f>
        <v>-2.2</v>
      </c>
      <c r="G83" s="153"/>
      <c r="H83" s="153" t="n">
        <f aca="false">H79+SUM(H80)+H82</f>
        <v>-2.37</v>
      </c>
      <c r="I83" s="153"/>
      <c r="J83" s="153" t="n">
        <f aca="false">J79+SUM(J80)+J82</f>
        <v>-2.607</v>
      </c>
      <c r="K83" s="153"/>
      <c r="L83" s="153" t="n">
        <f aca="false">L79+SUM(L80)+L82</f>
        <v>-2.8677</v>
      </c>
      <c r="M83" s="153"/>
      <c r="N83" s="154" t="n">
        <f aca="false">N79+SUM(N80)+N82</f>
        <v>-3.15447</v>
      </c>
      <c r="O83" s="153"/>
    </row>
    <row r="84" customFormat="false" ht="12.75" hidden="false" customHeight="false" outlineLevel="0" collapsed="false">
      <c r="A84" s="168"/>
      <c r="B84" s="109" t="s">
        <v>102</v>
      </c>
      <c r="C84" s="109"/>
      <c r="D84" s="109"/>
      <c r="E84" s="169"/>
      <c r="F84" s="170" t="n">
        <f aca="false">F68+F69+F70+F74+F76+F83</f>
        <v>-10.85</v>
      </c>
      <c r="G84" s="170"/>
      <c r="H84" s="170" t="n">
        <f aca="false">H68+H69+H70+H74+H76+H83</f>
        <v>-16.3575</v>
      </c>
      <c r="I84" s="170"/>
      <c r="J84" s="170" t="n">
        <f aca="false">J68+J69+J70+J74+J76+J83</f>
        <v>-19.5595</v>
      </c>
      <c r="K84" s="170"/>
      <c r="L84" s="170" t="n">
        <f aca="false">L68+L69+L70+L74+L76+L83</f>
        <v>-23.30695</v>
      </c>
      <c r="M84" s="170"/>
      <c r="N84" s="171" t="n">
        <f aca="false">N68+N69+N70+N74+N76+N83</f>
        <v>-27.69363875</v>
      </c>
      <c r="O84" s="170"/>
      <c r="P84" s="15"/>
      <c r="Q84" s="15"/>
      <c r="R84" s="15"/>
    </row>
    <row r="85" customFormat="false" ht="13.5" hidden="false" customHeight="false" outlineLevel="0" collapsed="false">
      <c r="A85" s="172"/>
      <c r="B85" s="173"/>
      <c r="C85" s="173"/>
      <c r="D85" s="173"/>
      <c r="E85" s="174"/>
      <c r="F85" s="175"/>
      <c r="G85" s="176"/>
      <c r="H85" s="176"/>
      <c r="I85" s="176"/>
      <c r="J85" s="176"/>
      <c r="K85" s="176"/>
      <c r="L85" s="176"/>
      <c r="M85" s="176"/>
      <c r="N85" s="177"/>
    </row>
    <row r="86" customFormat="false" ht="12.75" hidden="false" customHeight="false" outlineLevel="0" collapsed="false">
      <c r="B86" s="52"/>
      <c r="C86" s="52"/>
      <c r="AW86" s="13"/>
    </row>
    <row r="87" customFormat="false" ht="12.75" hidden="false" customHeight="false" outlineLevel="0" collapsed="false">
      <c r="B87" s="52"/>
      <c r="C87" s="52"/>
      <c r="AW87" s="13"/>
    </row>
    <row r="88" customFormat="false" ht="12.75" hidden="false" customHeight="false" outlineLevel="0" collapsed="false">
      <c r="B88" s="52"/>
      <c r="C88" s="52"/>
      <c r="AW88" s="13"/>
    </row>
    <row r="89" customFormat="false" ht="13.5" hidden="false" customHeight="false" outlineLevel="0" collapsed="false">
      <c r="B89" s="52"/>
      <c r="C89" s="52"/>
      <c r="AW89" s="13"/>
    </row>
    <row r="90" customFormat="false" ht="15.75" hidden="false" customHeight="false" outlineLevel="0" collapsed="false">
      <c r="A90" s="178" t="s">
        <v>103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179" t="s">
        <v>104</v>
      </c>
      <c r="AA90" s="180"/>
    </row>
    <row r="91" customFormat="false" ht="12.75" hidden="false" customHeight="false" outlineLevel="0" collapsed="false">
      <c r="A91" s="81"/>
      <c r="B91" s="77"/>
      <c r="C91" s="77"/>
      <c r="D91" s="77"/>
      <c r="E91" s="86" t="s">
        <v>105</v>
      </c>
      <c r="F91" s="79" t="n">
        <v>2001</v>
      </c>
      <c r="G91" s="79"/>
      <c r="H91" s="79" t="n">
        <f aca="false">F91+1</f>
        <v>2002</v>
      </c>
      <c r="I91" s="79"/>
      <c r="J91" s="79" t="n">
        <f aca="false">H91+1</f>
        <v>2003</v>
      </c>
      <c r="K91" s="79"/>
      <c r="L91" s="79" t="n">
        <f aca="false">J91+1</f>
        <v>2004</v>
      </c>
      <c r="M91" s="79"/>
      <c r="N91" s="79" t="n">
        <f aca="false">L91+1</f>
        <v>2005</v>
      </c>
      <c r="O91" s="79"/>
      <c r="P91" s="181" t="s">
        <v>106</v>
      </c>
    </row>
    <row r="92" customFormat="false" ht="12.75" hidden="false" customHeight="false" outlineLevel="0" collapsed="false">
      <c r="A92" s="81"/>
      <c r="B92" s="182" t="s">
        <v>107</v>
      </c>
      <c r="C92" s="77"/>
      <c r="D92" s="77"/>
      <c r="E92" s="183" t="s">
        <v>108</v>
      </c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184"/>
    </row>
    <row r="93" customFormat="false" ht="15" hidden="false" customHeight="false" outlineLevel="0" collapsed="false">
      <c r="A93" s="155"/>
      <c r="B93" s="52" t="s">
        <v>109</v>
      </c>
      <c r="C93" s="52"/>
      <c r="D93" s="52"/>
      <c r="E93" s="185" t="n">
        <v>3</v>
      </c>
      <c r="F93" s="186" t="n">
        <f aca="false">0.2+0.3</f>
        <v>0.5</v>
      </c>
      <c r="G93" s="52"/>
      <c r="H93" s="52"/>
      <c r="I93" s="52"/>
      <c r="J93" s="52"/>
      <c r="K93" s="52"/>
      <c r="L93" s="52"/>
      <c r="M93" s="52"/>
      <c r="N93" s="52"/>
      <c r="O93" s="52"/>
      <c r="P93" s="187" t="n">
        <f aca="false">SUM(F93:N93)</f>
        <v>0.5</v>
      </c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</row>
    <row r="94" customFormat="false" ht="12.75" hidden="false" customHeight="false" outlineLevel="0" collapsed="false">
      <c r="A94" s="81"/>
      <c r="B94" s="77" t="s">
        <v>110</v>
      </c>
      <c r="C94" s="77"/>
      <c r="D94" s="77"/>
      <c r="E94" s="185" t="n">
        <v>3</v>
      </c>
      <c r="F94" s="186" t="n">
        <v>0.5</v>
      </c>
      <c r="G94" s="79"/>
      <c r="H94" s="85"/>
      <c r="I94" s="86"/>
      <c r="J94" s="85"/>
      <c r="K94" s="86"/>
      <c r="L94" s="85"/>
      <c r="M94" s="86"/>
      <c r="N94" s="85"/>
      <c r="O94" s="86"/>
      <c r="P94" s="187" t="n">
        <f aca="false">SUM(F94:N94)</f>
        <v>0.5</v>
      </c>
    </row>
    <row r="95" customFormat="false" ht="17.25" hidden="false" customHeight="false" outlineLevel="0" collapsed="false">
      <c r="A95" s="155"/>
      <c r="B95" s="52" t="s">
        <v>111</v>
      </c>
      <c r="C95" s="52"/>
      <c r="D95" s="52"/>
      <c r="E95" s="185" t="n">
        <v>7</v>
      </c>
      <c r="F95" s="188" t="n">
        <v>0.4</v>
      </c>
      <c r="G95" s="44"/>
      <c r="H95" s="188" t="n">
        <v>0.1</v>
      </c>
      <c r="I95" s="44"/>
      <c r="J95" s="188" t="n">
        <v>0</v>
      </c>
      <c r="K95" s="44"/>
      <c r="L95" s="188" t="n">
        <v>0</v>
      </c>
      <c r="M95" s="44"/>
      <c r="N95" s="188" t="n">
        <v>0</v>
      </c>
      <c r="O95" s="44"/>
      <c r="P95" s="189" t="n">
        <f aca="false">SUM(F95:N95)</f>
        <v>0.5</v>
      </c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</row>
    <row r="96" customFormat="false" ht="15.75" hidden="false" customHeight="false" outlineLevel="0" collapsed="false">
      <c r="A96" s="168"/>
      <c r="B96" s="109" t="s">
        <v>112</v>
      </c>
      <c r="C96" s="109"/>
      <c r="D96" s="109"/>
      <c r="E96" s="109"/>
      <c r="F96" s="190" t="n">
        <f aca="false">SUM(F93:F95)</f>
        <v>1.4</v>
      </c>
      <c r="G96" s="109"/>
      <c r="H96" s="190" t="n">
        <f aca="false">SUM(H93:H95)</f>
        <v>0.1</v>
      </c>
      <c r="I96" s="109"/>
      <c r="J96" s="190" t="n">
        <f aca="false">SUM(J93:J95)</f>
        <v>0</v>
      </c>
      <c r="K96" s="109"/>
      <c r="L96" s="190" t="n">
        <f aca="false">SUM(L93:L95)</f>
        <v>0</v>
      </c>
      <c r="M96" s="109"/>
      <c r="N96" s="190" t="n">
        <f aca="false">SUM(N93:N95)</f>
        <v>0</v>
      </c>
      <c r="O96" s="109"/>
      <c r="P96" s="191" t="n">
        <f aca="false">SUM(F96:N96)</f>
        <v>1.5</v>
      </c>
      <c r="Q96" s="15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customFormat="false" ht="15.75" hidden="false" customHeight="false" outlineLevel="0" collapsed="false">
      <c r="A97" s="155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192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</row>
    <row r="98" customFormat="false" ht="15" hidden="false" customHeight="false" outlineLevel="0" collapsed="false">
      <c r="A98" s="69"/>
      <c r="B98" s="193" t="s">
        <v>113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194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</row>
    <row r="99" customFormat="false" ht="15" hidden="false" customHeight="false" outlineLevel="0" collapsed="false">
      <c r="A99" s="155"/>
      <c r="B99" s="195" t="s">
        <v>114</v>
      </c>
      <c r="C99" s="52"/>
      <c r="D99" s="52"/>
      <c r="E99" s="52"/>
      <c r="F99" s="157" t="n">
        <f aca="false">-(1/'Model Assumptions'!$E94)*('Model Assumptions'!$F94)</f>
        <v>-0.166666666666667</v>
      </c>
      <c r="G99" s="52"/>
      <c r="H99" s="157" t="n">
        <f aca="false">-(1/'Model Assumptions'!$E94)*('Model Assumptions'!$F94)</f>
        <v>-0.166666666666667</v>
      </c>
      <c r="I99" s="52"/>
      <c r="J99" s="157" t="n">
        <f aca="false">-(1/'Model Assumptions'!$E94)*('Model Assumptions'!$F94)</f>
        <v>-0.166666666666667</v>
      </c>
      <c r="K99" s="52"/>
      <c r="L99" s="157"/>
      <c r="M99" s="52"/>
      <c r="N99" s="157"/>
      <c r="O99" s="52"/>
      <c r="P99" s="187" t="n">
        <f aca="false">SUM(F99:N99)</f>
        <v>-0.5</v>
      </c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</row>
    <row r="100" customFormat="false" ht="15" hidden="false" customHeight="false" outlineLevel="0" collapsed="false">
      <c r="A100" s="155"/>
      <c r="B100" s="52"/>
      <c r="C100" s="52"/>
      <c r="D100" s="52"/>
      <c r="E100" s="52"/>
      <c r="F100" s="157"/>
      <c r="G100" s="52"/>
      <c r="H100" s="157" t="n">
        <f aca="false">-(1/'Model Assumptions'!$E94)*('Model Assumptions'!$H94)</f>
        <v>-0</v>
      </c>
      <c r="I100" s="52"/>
      <c r="J100" s="157" t="n">
        <f aca="false">-(1/'Model Assumptions'!$E94)*('Model Assumptions'!$H94)</f>
        <v>-0</v>
      </c>
      <c r="K100" s="52"/>
      <c r="L100" s="157" t="n">
        <f aca="false">-(1/'Model Assumptions'!$E94)*('Model Assumptions'!$H94)</f>
        <v>-0</v>
      </c>
      <c r="M100" s="52"/>
      <c r="N100" s="157"/>
      <c r="O100" s="52"/>
      <c r="P100" s="187" t="n">
        <f aca="false">SUM(F100:N100)</f>
        <v>0</v>
      </c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</row>
    <row r="101" customFormat="false" ht="15" hidden="false" customHeight="false" outlineLevel="0" collapsed="false">
      <c r="A101" s="155"/>
      <c r="B101" s="52"/>
      <c r="C101" s="52"/>
      <c r="D101" s="52"/>
      <c r="E101" s="52"/>
      <c r="F101" s="157"/>
      <c r="G101" s="52"/>
      <c r="H101" s="157"/>
      <c r="I101" s="52"/>
      <c r="J101" s="157" t="n">
        <f aca="false">-(1/'Model Assumptions'!$E94)*('Model Assumptions'!$J94)</f>
        <v>-0</v>
      </c>
      <c r="K101" s="52"/>
      <c r="L101" s="157" t="n">
        <f aca="false">-(1/'Model Assumptions'!$E94)*('Model Assumptions'!$J94)</f>
        <v>-0</v>
      </c>
      <c r="M101" s="52"/>
      <c r="N101" s="157" t="n">
        <f aca="false">-(1/'Model Assumptions'!$E94)*('Model Assumptions'!$J94)</f>
        <v>-0</v>
      </c>
      <c r="O101" s="52"/>
      <c r="P101" s="187" t="n">
        <f aca="false">SUM(F101:N101)</f>
        <v>0</v>
      </c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</row>
    <row r="102" customFormat="false" ht="15" hidden="false" customHeight="false" outlineLevel="0" collapsed="false">
      <c r="A102" s="155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157" t="n">
        <f aca="false">-(1/'Model Assumptions'!$E94)*('Model Assumptions'!$L94)</f>
        <v>-0</v>
      </c>
      <c r="M102" s="52"/>
      <c r="N102" s="157" t="n">
        <f aca="false">-(1/'Model Assumptions'!$E94)*('Model Assumptions'!$L94)</f>
        <v>-0</v>
      </c>
      <c r="O102" s="52"/>
      <c r="P102" s="187" t="n">
        <f aca="false">SUM(F102:N102)</f>
        <v>0</v>
      </c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</row>
    <row r="103" customFormat="false" ht="15" hidden="false" customHeight="false" outlineLevel="0" collapsed="false">
      <c r="A103" s="155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157" t="n">
        <f aca="false">-(1/'Model Assumptions'!$E94)*('Model Assumptions'!N94)</f>
        <v>-0</v>
      </c>
      <c r="O103" s="52"/>
      <c r="P103" s="187" t="n">
        <f aca="false">SUM(F103:N103)</f>
        <v>0</v>
      </c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</row>
    <row r="104" customFormat="false" ht="15" hidden="false" customHeight="false" outlineLevel="0" collapsed="false">
      <c r="A104" s="155"/>
      <c r="B104" s="195" t="s">
        <v>115</v>
      </c>
      <c r="C104" s="52"/>
      <c r="D104" s="52"/>
      <c r="E104" s="52"/>
      <c r="F104" s="157" t="n">
        <f aca="false">-(1/'Model Assumptions'!$E93)*('Model Assumptions'!$F93)</f>
        <v>-0.166666666666667</v>
      </c>
      <c r="G104" s="52"/>
      <c r="H104" s="157" t="n">
        <f aca="false">-(1/'Model Assumptions'!$E93)*('Model Assumptions'!$F93)</f>
        <v>-0.166666666666667</v>
      </c>
      <c r="I104" s="52"/>
      <c r="J104" s="157" t="n">
        <f aca="false">-(1/'Model Assumptions'!$E93)*('Model Assumptions'!$F93)</f>
        <v>-0.166666666666667</v>
      </c>
      <c r="K104" s="52"/>
      <c r="L104" s="52"/>
      <c r="M104" s="52"/>
      <c r="N104" s="52"/>
      <c r="O104" s="52"/>
      <c r="P104" s="187" t="n">
        <f aca="false">SUM(F104:N104)</f>
        <v>-0.5</v>
      </c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</row>
    <row r="105" customFormat="false" ht="15" hidden="false" customHeight="false" outlineLevel="0" collapsed="false">
      <c r="A105" s="155"/>
      <c r="B105" s="52"/>
      <c r="C105" s="52"/>
      <c r="D105" s="52"/>
      <c r="E105" s="52"/>
      <c r="F105" s="52"/>
      <c r="G105" s="52"/>
      <c r="H105" s="157" t="n">
        <f aca="false">-(1/'Model Assumptions'!$E93)*('Model Assumptions'!$H93)</f>
        <v>-0</v>
      </c>
      <c r="I105" s="52"/>
      <c r="J105" s="157" t="n">
        <f aca="false">-(1/'Model Assumptions'!$E93)*('Model Assumptions'!$H93)</f>
        <v>-0</v>
      </c>
      <c r="K105" s="52"/>
      <c r="L105" s="157" t="n">
        <f aca="false">-(1/'Model Assumptions'!$E93)*('Model Assumptions'!$H93)</f>
        <v>-0</v>
      </c>
      <c r="M105" s="52"/>
      <c r="N105" s="52"/>
      <c r="O105" s="52"/>
      <c r="P105" s="187" t="n">
        <f aca="false">SUM(F105:N105)</f>
        <v>0</v>
      </c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</row>
    <row r="106" customFormat="false" ht="15" hidden="false" customHeight="false" outlineLevel="0" collapsed="false">
      <c r="A106" s="155"/>
      <c r="B106" s="52"/>
      <c r="C106" s="52"/>
      <c r="D106" s="52"/>
      <c r="E106" s="52"/>
      <c r="F106" s="52"/>
      <c r="G106" s="52"/>
      <c r="H106" s="52"/>
      <c r="I106" s="52"/>
      <c r="J106" s="157" t="n">
        <f aca="false">-(1/'Model Assumptions'!$E93)*('Model Assumptions'!$J93)</f>
        <v>-0</v>
      </c>
      <c r="K106" s="52"/>
      <c r="L106" s="157" t="n">
        <f aca="false">-(1/'Model Assumptions'!$E93)*('Model Assumptions'!$J93)</f>
        <v>-0</v>
      </c>
      <c r="M106" s="52"/>
      <c r="N106" s="157" t="n">
        <f aca="false">-(1/'Model Assumptions'!$E93)*('Model Assumptions'!$J93)</f>
        <v>-0</v>
      </c>
      <c r="O106" s="52"/>
      <c r="P106" s="187" t="n">
        <f aca="false">SUM(F106:N106)</f>
        <v>0</v>
      </c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</row>
    <row r="107" customFormat="false" ht="15" hidden="false" customHeight="false" outlineLevel="0" collapsed="false">
      <c r="A107" s="155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157" t="n">
        <f aca="false">-(1/'Model Assumptions'!$E93)*('Model Assumptions'!$L93)</f>
        <v>-0</v>
      </c>
      <c r="M107" s="52"/>
      <c r="N107" s="157" t="n">
        <f aca="false">-(1/'Model Assumptions'!$E93)*('Model Assumptions'!$L93)</f>
        <v>-0</v>
      </c>
      <c r="O107" s="52"/>
      <c r="P107" s="187" t="n">
        <f aca="false">SUM(F107:N107)</f>
        <v>0</v>
      </c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</row>
    <row r="108" customFormat="false" ht="15" hidden="false" customHeight="false" outlineLevel="0" collapsed="false">
      <c r="A108" s="155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157" t="n">
        <f aca="false">-(1/'Model Assumptions'!$E93)*('Model Assumptions'!N93)</f>
        <v>-0</v>
      </c>
      <c r="O108" s="52"/>
      <c r="P108" s="187" t="n">
        <f aca="false">SUM(F108:N108)</f>
        <v>0</v>
      </c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</row>
    <row r="109" customFormat="false" ht="15" hidden="false" customHeight="false" outlineLevel="0" collapsed="false">
      <c r="A109" s="155"/>
      <c r="B109" s="195" t="s">
        <v>116</v>
      </c>
      <c r="C109" s="52"/>
      <c r="D109" s="52"/>
      <c r="E109" s="52"/>
      <c r="F109" s="157" t="n">
        <f aca="false">-(1/'Model Assumptions'!$E95)*('Model Assumptions'!$F95)</f>
        <v>-0.0571428571428571</v>
      </c>
      <c r="G109" s="52"/>
      <c r="H109" s="157" t="n">
        <f aca="false">-(1/'Model Assumptions'!$E95)*('Model Assumptions'!$F95)</f>
        <v>-0.0571428571428571</v>
      </c>
      <c r="I109" s="52"/>
      <c r="J109" s="157" t="n">
        <f aca="false">-(1/'Model Assumptions'!$E95)*('Model Assumptions'!$F95)</f>
        <v>-0.0571428571428571</v>
      </c>
      <c r="K109" s="52"/>
      <c r="L109" s="157" t="n">
        <f aca="false">-(1/'Model Assumptions'!$E95)*('Model Assumptions'!$F95)</f>
        <v>-0.0571428571428571</v>
      </c>
      <c r="M109" s="52"/>
      <c r="N109" s="157" t="n">
        <f aca="false">-(1/'Model Assumptions'!$E95)*('Model Assumptions'!$F95)</f>
        <v>-0.0571428571428571</v>
      </c>
      <c r="O109" s="52"/>
      <c r="P109" s="187" t="n">
        <f aca="false">SUM(F109:N109)</f>
        <v>-0.285714285714286</v>
      </c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</row>
    <row r="110" customFormat="false" ht="12.75" hidden="false" customHeight="false" outlineLevel="0" collapsed="false">
      <c r="A110" s="155"/>
      <c r="B110" s="52"/>
      <c r="C110" s="52"/>
      <c r="D110" s="52"/>
      <c r="E110" s="52"/>
      <c r="F110" s="52"/>
      <c r="G110" s="52"/>
      <c r="H110" s="160" t="n">
        <f aca="false">-(1/'Model Assumptions'!$E95)*('Model Assumptions'!$H95)</f>
        <v>-0.0142857142857143</v>
      </c>
      <c r="I110" s="160"/>
      <c r="J110" s="160" t="n">
        <f aca="false">-(1/'Model Assumptions'!$E95)*('Model Assumptions'!$H95)</f>
        <v>-0.0142857142857143</v>
      </c>
      <c r="K110" s="160"/>
      <c r="L110" s="160" t="n">
        <f aca="false">-(1/'Model Assumptions'!$E95)*('Model Assumptions'!$H95)</f>
        <v>-0.0142857142857143</v>
      </c>
      <c r="M110" s="196"/>
      <c r="N110" s="160" t="n">
        <f aca="false">-(1/'Model Assumptions'!$E95)*('Model Assumptions'!$H95)</f>
        <v>-0.0142857142857143</v>
      </c>
      <c r="O110" s="196"/>
      <c r="P110" s="187" t="n">
        <f aca="false">SUM(F110:N110)</f>
        <v>-0.0571428571428571</v>
      </c>
    </row>
    <row r="111" customFormat="false" ht="12.75" hidden="false" customHeight="false" outlineLevel="0" collapsed="false">
      <c r="A111" s="155"/>
      <c r="B111" s="52"/>
      <c r="C111" s="52"/>
      <c r="D111" s="52"/>
      <c r="E111" s="52"/>
      <c r="F111" s="52"/>
      <c r="G111" s="52"/>
      <c r="H111" s="52"/>
      <c r="I111" s="52"/>
      <c r="J111" s="157" t="n">
        <f aca="false">-(1/'Model Assumptions'!$E95)*('Model Assumptions'!$J95)</f>
        <v>-0</v>
      </c>
      <c r="K111" s="52"/>
      <c r="L111" s="157" t="n">
        <f aca="false">-(1/'Model Assumptions'!$E95)*('Model Assumptions'!$J95)</f>
        <v>-0</v>
      </c>
      <c r="M111" s="52"/>
      <c r="N111" s="157" t="n">
        <f aca="false">-(1/'Model Assumptions'!$E95)*('Model Assumptions'!$J95)</f>
        <v>-0</v>
      </c>
      <c r="O111" s="52"/>
      <c r="P111" s="187" t="n">
        <f aca="false">SUM(F111:N111)</f>
        <v>0</v>
      </c>
    </row>
    <row r="112" customFormat="false" ht="12.75" hidden="false" customHeight="false" outlineLevel="0" collapsed="false">
      <c r="A112" s="155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157" t="n">
        <f aca="false">-(1/'Model Assumptions'!$E95)*('Model Assumptions'!$L95)</f>
        <v>-0</v>
      </c>
      <c r="M112" s="52"/>
      <c r="N112" s="157" t="n">
        <f aca="false">-(1/'Model Assumptions'!$E95)*('Model Assumptions'!$L95)</f>
        <v>-0</v>
      </c>
      <c r="O112" s="52"/>
      <c r="P112" s="187" t="n">
        <f aca="false">SUM(F112:N112)</f>
        <v>0</v>
      </c>
    </row>
    <row r="113" customFormat="false" ht="15" hidden="false" customHeight="false" outlineLevel="0" collapsed="false">
      <c r="A113" s="155"/>
      <c r="B113" s="52"/>
      <c r="C113" s="52"/>
      <c r="D113" s="52"/>
      <c r="E113" s="52"/>
      <c r="F113" s="153" t="n">
        <v>0</v>
      </c>
      <c r="G113" s="153"/>
      <c r="H113" s="153" t="n">
        <v>0</v>
      </c>
      <c r="I113" s="153"/>
      <c r="J113" s="153" t="n">
        <v>0</v>
      </c>
      <c r="K113" s="153"/>
      <c r="L113" s="153" t="n">
        <v>0</v>
      </c>
      <c r="M113" s="153"/>
      <c r="N113" s="153" t="n">
        <f aca="false">-(1/'Model Assumptions'!$E95)*('Model Assumptions'!N95)</f>
        <v>-0</v>
      </c>
      <c r="O113" s="44"/>
      <c r="P113" s="189" t="n">
        <f aca="false">SUM(F113:N113)</f>
        <v>0</v>
      </c>
    </row>
    <row r="114" customFormat="false" ht="12.75" hidden="false" customHeight="false" outlineLevel="0" collapsed="false">
      <c r="A114" s="31"/>
      <c r="B114" s="32" t="s">
        <v>117</v>
      </c>
      <c r="C114" s="32"/>
      <c r="D114" s="32"/>
      <c r="E114" s="32"/>
      <c r="F114" s="197" t="n">
        <f aca="false">SUM(F99:F108)</f>
        <v>-0.333333333333333</v>
      </c>
      <c r="G114" s="32"/>
      <c r="H114" s="197" t="n">
        <f aca="false">SUM(H99:H108)</f>
        <v>-0.333333333333333</v>
      </c>
      <c r="I114" s="32"/>
      <c r="J114" s="197" t="n">
        <f aca="false">SUM(J99:J108)</f>
        <v>-0.333333333333333</v>
      </c>
      <c r="K114" s="32"/>
      <c r="L114" s="197" t="n">
        <f aca="false">SUM(L99:L108)</f>
        <v>0</v>
      </c>
      <c r="M114" s="197"/>
      <c r="N114" s="197" t="n">
        <f aca="false">SUM(N99:N108)</f>
        <v>0</v>
      </c>
      <c r="O114" s="32"/>
      <c r="P114" s="198" t="n">
        <f aca="false">SUM(P99:P108)</f>
        <v>-1</v>
      </c>
      <c r="Q114" s="23"/>
      <c r="R114" s="23"/>
    </row>
    <row r="115" customFormat="false" ht="15" hidden="false" customHeight="false" outlineLevel="0" collapsed="false">
      <c r="A115" s="31"/>
      <c r="B115" s="32" t="s">
        <v>118</v>
      </c>
      <c r="C115" s="32"/>
      <c r="D115" s="32"/>
      <c r="E115" s="32"/>
      <c r="F115" s="199" t="n">
        <f aca="false">SUM(F109:F113)</f>
        <v>-0.0571428571428571</v>
      </c>
      <c r="G115" s="44"/>
      <c r="H115" s="199" t="n">
        <f aca="false">SUM(H109:H113)</f>
        <v>-0.0714285714285714</v>
      </c>
      <c r="I115" s="44"/>
      <c r="J115" s="199" t="n">
        <f aca="false">SUM(J109:J113)</f>
        <v>-0.0714285714285714</v>
      </c>
      <c r="K115" s="44"/>
      <c r="L115" s="199" t="n">
        <f aca="false">SUM(L109:L113)</f>
        <v>-0.0714285714285714</v>
      </c>
      <c r="M115" s="199"/>
      <c r="N115" s="199" t="n">
        <f aca="false">SUM(N109:N113)</f>
        <v>-0.0714285714285714</v>
      </c>
      <c r="O115" s="44"/>
      <c r="P115" s="200" t="n">
        <f aca="false">SUM(P109:P113)</f>
        <v>-0.342857142857143</v>
      </c>
      <c r="Q115" s="23"/>
      <c r="R115" s="23"/>
    </row>
    <row r="116" customFormat="false" ht="12.75" hidden="false" customHeight="false" outlineLevel="0" collapsed="false">
      <c r="A116" s="168"/>
      <c r="B116" s="109" t="s">
        <v>119</v>
      </c>
      <c r="C116" s="109"/>
      <c r="D116" s="109"/>
      <c r="E116" s="109"/>
      <c r="F116" s="201" t="n">
        <f aca="false">F114+F115</f>
        <v>-0.390476190476191</v>
      </c>
      <c r="G116" s="109"/>
      <c r="H116" s="201" t="n">
        <f aca="false">H114+H115</f>
        <v>-0.404761904761905</v>
      </c>
      <c r="I116" s="109"/>
      <c r="J116" s="201" t="n">
        <f aca="false">J114+J115</f>
        <v>-0.404761904761905</v>
      </c>
      <c r="K116" s="109"/>
      <c r="L116" s="201" t="n">
        <f aca="false">L114+L115</f>
        <v>-0.0714285714285714</v>
      </c>
      <c r="M116" s="109"/>
      <c r="N116" s="201" t="n">
        <f aca="false">N114+N115</f>
        <v>-0.0714285714285714</v>
      </c>
      <c r="O116" s="109"/>
      <c r="P116" s="202" t="n">
        <f aca="false">P114+P115</f>
        <v>-1.34285714285714</v>
      </c>
      <c r="Q116" s="15"/>
      <c r="R116" s="15"/>
    </row>
    <row r="117" customFormat="false" ht="15.75" hidden="false" customHeight="false" outlineLevel="0" collapsed="false">
      <c r="A117" s="172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203"/>
    </row>
    <row r="118" customFormat="false" ht="15" hidden="false" customHeight="false" outlineLevel="0" collapsed="false">
      <c r="P118" s="180"/>
    </row>
    <row r="119" customFormat="false" ht="15" hidden="false" customHeight="false" outlineLevel="0" collapsed="false">
      <c r="P119" s="180"/>
    </row>
    <row r="120" customFormat="false" ht="15" hidden="false" customHeight="false" outlineLevel="0" collapsed="false">
      <c r="P120" s="180"/>
    </row>
    <row r="121" customFormat="false" ht="15" hidden="false" customHeight="false" outlineLevel="0" collapsed="false">
      <c r="P121" s="180"/>
    </row>
    <row r="122" customFormat="false" ht="15" hidden="false" customHeight="false" outlineLevel="0" collapsed="false">
      <c r="P122" s="180"/>
    </row>
    <row r="123" customFormat="false" ht="15" hidden="false" customHeight="false" outlineLevel="0" collapsed="false">
      <c r="P123" s="180"/>
    </row>
    <row r="124" customFormat="false" ht="15" hidden="false" customHeight="false" outlineLevel="0" collapsed="false">
      <c r="P124" s="180"/>
    </row>
    <row r="125" customFormat="false" ht="15" hidden="false" customHeight="false" outlineLevel="0" collapsed="false">
      <c r="P125" s="180"/>
    </row>
    <row r="126" customFormat="false" ht="15" hidden="false" customHeight="false" outlineLevel="0" collapsed="false">
      <c r="P126" s="180"/>
    </row>
    <row r="127" customFormat="false" ht="15" hidden="false" customHeight="false" outlineLevel="0" collapsed="false">
      <c r="P127" s="180"/>
    </row>
    <row r="128" customFormat="false" ht="15" hidden="false" customHeight="false" outlineLevel="0" collapsed="false">
      <c r="P128" s="180"/>
    </row>
    <row r="129" customFormat="false" ht="15" hidden="false" customHeight="false" outlineLevel="0" collapsed="false">
      <c r="P129" s="180"/>
    </row>
    <row r="130" customFormat="false" ht="15" hidden="false" customHeight="false" outlineLevel="0" collapsed="false">
      <c r="P130" s="180"/>
    </row>
    <row r="131" customFormat="false" ht="15" hidden="false" customHeight="false" outlineLevel="0" collapsed="false">
      <c r="P131" s="180"/>
    </row>
    <row r="132" customFormat="false" ht="15" hidden="false" customHeight="false" outlineLevel="0" collapsed="false">
      <c r="P132" s="180"/>
    </row>
    <row r="133" customFormat="false" ht="15" hidden="false" customHeight="false" outlineLevel="0" collapsed="false">
      <c r="P133" s="180"/>
    </row>
    <row r="134" customFormat="false" ht="15" hidden="false" customHeight="false" outlineLevel="0" collapsed="false">
      <c r="P134" s="180"/>
    </row>
    <row r="135" customFormat="false" ht="15" hidden="false" customHeight="false" outlineLevel="0" collapsed="false">
      <c r="P135" s="180"/>
    </row>
    <row r="136" customFormat="false" ht="15" hidden="false" customHeight="false" outlineLevel="0" collapsed="false">
      <c r="P136" s="180"/>
    </row>
    <row r="137" customFormat="false" ht="15" hidden="false" customHeight="false" outlineLevel="0" collapsed="false">
      <c r="P137" s="180"/>
    </row>
    <row r="138" customFormat="false" ht="15" hidden="false" customHeight="false" outlineLevel="0" collapsed="false">
      <c r="P138" s="180"/>
    </row>
    <row r="139" customFormat="false" ht="15" hidden="false" customHeight="false" outlineLevel="0" collapsed="false">
      <c r="P139" s="180"/>
    </row>
    <row r="140" customFormat="false" ht="15" hidden="false" customHeight="false" outlineLevel="0" collapsed="false">
      <c r="P140" s="180"/>
    </row>
    <row r="141" customFormat="false" ht="15" hidden="false" customHeight="false" outlineLevel="0" collapsed="false">
      <c r="P141" s="180"/>
    </row>
    <row r="142" customFormat="false" ht="15" hidden="false" customHeight="false" outlineLevel="0" collapsed="false">
      <c r="P142" s="180"/>
    </row>
    <row r="143" customFormat="false" ht="15" hidden="false" customHeight="false" outlineLevel="0" collapsed="false">
      <c r="P143" s="180"/>
    </row>
    <row r="144" customFormat="false" ht="15" hidden="false" customHeight="false" outlineLevel="0" collapsed="false">
      <c r="P144" s="180"/>
    </row>
    <row r="145" customFormat="false" ht="15" hidden="false" customHeight="false" outlineLevel="0" collapsed="false">
      <c r="P145" s="180"/>
    </row>
    <row r="146" customFormat="false" ht="15" hidden="false" customHeight="false" outlineLevel="0" collapsed="false">
      <c r="P146" s="180"/>
    </row>
    <row r="147" customFormat="false" ht="15" hidden="false" customHeight="false" outlineLevel="0" collapsed="false">
      <c r="P147" s="180"/>
    </row>
    <row r="148" customFormat="false" ht="15" hidden="false" customHeight="false" outlineLevel="0" collapsed="false">
      <c r="P148" s="180"/>
    </row>
    <row r="149" customFormat="false" ht="15" hidden="false" customHeight="false" outlineLevel="0" collapsed="false">
      <c r="P149" s="180"/>
    </row>
    <row r="150" customFormat="false" ht="15" hidden="false" customHeight="false" outlineLevel="0" collapsed="false">
      <c r="P150" s="180"/>
    </row>
    <row r="151" customFormat="false" ht="15" hidden="false" customHeight="false" outlineLevel="0" collapsed="false">
      <c r="P151" s="180"/>
    </row>
    <row r="152" customFormat="false" ht="15" hidden="false" customHeight="false" outlineLevel="0" collapsed="false">
      <c r="P152" s="180"/>
    </row>
    <row r="153" customFormat="false" ht="15" hidden="false" customHeight="false" outlineLevel="0" collapsed="false">
      <c r="P153" s="180"/>
    </row>
    <row r="154" customFormat="false" ht="15" hidden="false" customHeight="false" outlineLevel="0" collapsed="false">
      <c r="P154" s="180"/>
    </row>
    <row r="155" customFormat="false" ht="15" hidden="false" customHeight="false" outlineLevel="0" collapsed="false">
      <c r="P155" s="180"/>
    </row>
    <row r="156" customFormat="false" ht="15" hidden="false" customHeight="false" outlineLevel="0" collapsed="false">
      <c r="P156" s="180"/>
    </row>
    <row r="157" customFormat="false" ht="15" hidden="false" customHeight="false" outlineLevel="0" collapsed="false">
      <c r="P157" s="180"/>
    </row>
    <row r="158" customFormat="false" ht="15" hidden="false" customHeight="false" outlineLevel="0" collapsed="false">
      <c r="P158" s="180"/>
    </row>
    <row r="159" customFormat="false" ht="15" hidden="false" customHeight="false" outlineLevel="0" collapsed="false">
      <c r="P159" s="180"/>
    </row>
    <row r="160" customFormat="false" ht="15" hidden="false" customHeight="false" outlineLevel="0" collapsed="false">
      <c r="P160" s="180"/>
    </row>
    <row r="161" customFormat="false" ht="15" hidden="false" customHeight="false" outlineLevel="0" collapsed="false">
      <c r="P161" s="180"/>
    </row>
    <row r="162" customFormat="false" ht="15" hidden="false" customHeight="false" outlineLevel="0" collapsed="false">
      <c r="P162" s="180"/>
    </row>
    <row r="163" customFormat="false" ht="15" hidden="false" customHeight="false" outlineLevel="0" collapsed="false">
      <c r="P163" s="180"/>
    </row>
    <row r="164" customFormat="false" ht="15" hidden="false" customHeight="false" outlineLevel="0" collapsed="false">
      <c r="P164" s="180"/>
    </row>
    <row r="165" customFormat="false" ht="15" hidden="false" customHeight="false" outlineLevel="0" collapsed="false">
      <c r="P165" s="180"/>
    </row>
    <row r="166" customFormat="false" ht="15" hidden="false" customHeight="false" outlineLevel="0" collapsed="false">
      <c r="P166" s="180"/>
    </row>
    <row r="167" customFormat="false" ht="15" hidden="false" customHeight="false" outlineLevel="0" collapsed="false">
      <c r="P167" s="180"/>
    </row>
    <row r="168" customFormat="false" ht="15" hidden="false" customHeight="false" outlineLevel="0" collapsed="false">
      <c r="P168" s="180"/>
    </row>
    <row r="169" customFormat="false" ht="15" hidden="false" customHeight="false" outlineLevel="0" collapsed="false">
      <c r="P169" s="180"/>
    </row>
    <row r="170" customFormat="false" ht="15" hidden="false" customHeight="false" outlineLevel="0" collapsed="false">
      <c r="P170" s="180"/>
    </row>
    <row r="171" customFormat="false" ht="15" hidden="false" customHeight="false" outlineLevel="0" collapsed="false">
      <c r="P171" s="180"/>
    </row>
    <row r="172" customFormat="false" ht="15" hidden="false" customHeight="false" outlineLevel="0" collapsed="false">
      <c r="P172" s="180"/>
    </row>
    <row r="173" customFormat="false" ht="15" hidden="false" customHeight="false" outlineLevel="0" collapsed="false">
      <c r="P173" s="180"/>
    </row>
    <row r="174" customFormat="false" ht="15" hidden="false" customHeight="false" outlineLevel="0" collapsed="false">
      <c r="P174" s="180"/>
    </row>
    <row r="175" customFormat="false" ht="15" hidden="false" customHeight="false" outlineLevel="0" collapsed="false">
      <c r="P175" s="180"/>
    </row>
    <row r="176" customFormat="false" ht="15" hidden="false" customHeight="false" outlineLevel="0" collapsed="false">
      <c r="P176" s="180"/>
    </row>
    <row r="177" customFormat="false" ht="15" hidden="false" customHeight="false" outlineLevel="0" collapsed="false">
      <c r="P177" s="180"/>
    </row>
    <row r="178" customFormat="false" ht="15" hidden="false" customHeight="false" outlineLevel="0" collapsed="false">
      <c r="P178" s="180"/>
    </row>
    <row r="179" customFormat="false" ht="15" hidden="false" customHeight="false" outlineLevel="0" collapsed="false">
      <c r="P179" s="180"/>
    </row>
    <row r="180" customFormat="false" ht="15" hidden="false" customHeight="false" outlineLevel="0" collapsed="false">
      <c r="P180" s="180"/>
    </row>
    <row r="181" customFormat="false" ht="15" hidden="false" customHeight="false" outlineLevel="0" collapsed="false">
      <c r="P181" s="180"/>
    </row>
    <row r="182" customFormat="false" ht="15" hidden="false" customHeight="false" outlineLevel="0" collapsed="false">
      <c r="P182" s="180"/>
    </row>
    <row r="183" customFormat="false" ht="15" hidden="false" customHeight="false" outlineLevel="0" collapsed="false">
      <c r="P183" s="180"/>
    </row>
    <row r="184" customFormat="false" ht="15" hidden="false" customHeight="false" outlineLevel="0" collapsed="false">
      <c r="P184" s="180"/>
    </row>
    <row r="185" customFormat="false" ht="15" hidden="false" customHeight="false" outlineLevel="0" collapsed="false">
      <c r="P185" s="180"/>
    </row>
    <row r="186" customFormat="false" ht="15" hidden="false" customHeight="false" outlineLevel="0" collapsed="false">
      <c r="P186" s="180"/>
    </row>
    <row r="187" customFormat="false" ht="15" hidden="false" customHeight="false" outlineLevel="0" collapsed="false">
      <c r="P187" s="180"/>
    </row>
    <row r="188" customFormat="false" ht="15" hidden="false" customHeight="false" outlineLevel="0" collapsed="false">
      <c r="P188" s="180"/>
    </row>
    <row r="189" customFormat="false" ht="15" hidden="false" customHeight="false" outlineLevel="0" collapsed="false">
      <c r="P189" s="180"/>
    </row>
    <row r="190" customFormat="false" ht="15" hidden="false" customHeight="false" outlineLevel="0" collapsed="false">
      <c r="P190" s="180"/>
    </row>
    <row r="191" customFormat="false" ht="15" hidden="false" customHeight="false" outlineLevel="0" collapsed="false">
      <c r="P191" s="180"/>
    </row>
    <row r="192" customFormat="false" ht="15" hidden="false" customHeight="false" outlineLevel="0" collapsed="false">
      <c r="P192" s="180"/>
    </row>
    <row r="193" customFormat="false" ht="15" hidden="false" customHeight="false" outlineLevel="0" collapsed="false">
      <c r="P193" s="180"/>
    </row>
    <row r="194" customFormat="false" ht="15" hidden="false" customHeight="false" outlineLevel="0" collapsed="false">
      <c r="P194" s="180"/>
    </row>
    <row r="195" customFormat="false" ht="15" hidden="false" customHeight="false" outlineLevel="0" collapsed="false">
      <c r="P195" s="180"/>
    </row>
    <row r="196" customFormat="false" ht="15" hidden="false" customHeight="false" outlineLevel="0" collapsed="false">
      <c r="P196" s="180"/>
    </row>
    <row r="197" customFormat="false" ht="15" hidden="false" customHeight="false" outlineLevel="0" collapsed="false">
      <c r="P197" s="180"/>
    </row>
    <row r="198" customFormat="false" ht="15" hidden="false" customHeight="false" outlineLevel="0" collapsed="false">
      <c r="P198" s="180"/>
    </row>
    <row r="199" customFormat="false" ht="15" hidden="false" customHeight="false" outlineLevel="0" collapsed="false">
      <c r="P199" s="180"/>
    </row>
    <row r="200" customFormat="false" ht="15" hidden="false" customHeight="false" outlineLevel="0" collapsed="false">
      <c r="P200" s="180"/>
    </row>
    <row r="201" customFormat="false" ht="15" hidden="false" customHeight="false" outlineLevel="0" collapsed="false">
      <c r="P201" s="180"/>
    </row>
    <row r="202" customFormat="false" ht="15" hidden="false" customHeight="false" outlineLevel="0" collapsed="false">
      <c r="P202" s="180"/>
    </row>
    <row r="203" customFormat="false" ht="15" hidden="false" customHeight="false" outlineLevel="0" collapsed="false">
      <c r="P203" s="180"/>
    </row>
    <row r="204" customFormat="false" ht="15" hidden="false" customHeight="false" outlineLevel="0" collapsed="false">
      <c r="P204" s="180"/>
    </row>
    <row r="205" customFormat="false" ht="15" hidden="false" customHeight="false" outlineLevel="0" collapsed="false">
      <c r="P205" s="180"/>
    </row>
    <row r="206" customFormat="false" ht="15" hidden="false" customHeight="false" outlineLevel="0" collapsed="false">
      <c r="P206" s="180"/>
    </row>
    <row r="207" customFormat="false" ht="15" hidden="false" customHeight="false" outlineLevel="0" collapsed="false">
      <c r="P207" s="180"/>
    </row>
    <row r="208" customFormat="false" ht="15" hidden="false" customHeight="false" outlineLevel="0" collapsed="false">
      <c r="P208" s="180"/>
    </row>
    <row r="209" customFormat="false" ht="15" hidden="false" customHeight="false" outlineLevel="0" collapsed="false">
      <c r="P209" s="180"/>
    </row>
    <row r="210" customFormat="false" ht="15" hidden="false" customHeight="false" outlineLevel="0" collapsed="false">
      <c r="P210" s="180"/>
    </row>
    <row r="211" customFormat="false" ht="15" hidden="false" customHeight="false" outlineLevel="0" collapsed="false">
      <c r="P211" s="180"/>
    </row>
    <row r="212" customFormat="false" ht="15" hidden="false" customHeight="false" outlineLevel="0" collapsed="false">
      <c r="P212" s="180"/>
    </row>
    <row r="213" customFormat="false" ht="15" hidden="false" customHeight="false" outlineLevel="0" collapsed="false">
      <c r="P213" s="180"/>
    </row>
    <row r="214" customFormat="false" ht="15" hidden="false" customHeight="false" outlineLevel="0" collapsed="false">
      <c r="P214" s="180"/>
    </row>
    <row r="215" customFormat="false" ht="15" hidden="false" customHeight="false" outlineLevel="0" collapsed="false">
      <c r="P215" s="180"/>
    </row>
    <row r="216" customFormat="false" ht="15" hidden="false" customHeight="false" outlineLevel="0" collapsed="false">
      <c r="P216" s="180"/>
    </row>
    <row r="217" customFormat="false" ht="15" hidden="false" customHeight="false" outlineLevel="0" collapsed="false">
      <c r="P217" s="180"/>
    </row>
    <row r="218" customFormat="false" ht="15" hidden="false" customHeight="false" outlineLevel="0" collapsed="false">
      <c r="P218" s="180"/>
    </row>
    <row r="219" customFormat="false" ht="15" hidden="false" customHeight="false" outlineLevel="0" collapsed="false">
      <c r="P219" s="180"/>
    </row>
    <row r="220" customFormat="false" ht="15" hidden="false" customHeight="false" outlineLevel="0" collapsed="false">
      <c r="P220" s="180"/>
    </row>
    <row r="221" customFormat="false" ht="15" hidden="false" customHeight="false" outlineLevel="0" collapsed="false">
      <c r="P221" s="180"/>
    </row>
    <row r="222" customFormat="false" ht="15" hidden="false" customHeight="false" outlineLevel="0" collapsed="false">
      <c r="P222" s="180"/>
    </row>
    <row r="223" customFormat="false" ht="15" hidden="false" customHeight="false" outlineLevel="0" collapsed="false">
      <c r="P223" s="180"/>
    </row>
    <row r="224" customFormat="false" ht="15" hidden="false" customHeight="false" outlineLevel="0" collapsed="false">
      <c r="P224" s="180"/>
    </row>
    <row r="225" customFormat="false" ht="15" hidden="false" customHeight="false" outlineLevel="0" collapsed="false">
      <c r="P225" s="180"/>
    </row>
    <row r="226" customFormat="false" ht="15" hidden="false" customHeight="false" outlineLevel="0" collapsed="false">
      <c r="P226" s="180"/>
    </row>
    <row r="227" customFormat="false" ht="15" hidden="false" customHeight="false" outlineLevel="0" collapsed="false">
      <c r="P227" s="180"/>
    </row>
    <row r="228" customFormat="false" ht="15" hidden="false" customHeight="false" outlineLevel="0" collapsed="false">
      <c r="P228" s="180"/>
    </row>
    <row r="229" customFormat="false" ht="15" hidden="false" customHeight="false" outlineLevel="0" collapsed="false">
      <c r="P229" s="180"/>
    </row>
    <row r="230" customFormat="false" ht="15" hidden="false" customHeight="false" outlineLevel="0" collapsed="false">
      <c r="P230" s="180"/>
    </row>
    <row r="231" customFormat="false" ht="15" hidden="false" customHeight="false" outlineLevel="0" collapsed="false">
      <c r="P231" s="180"/>
    </row>
    <row r="232" customFormat="false" ht="15" hidden="false" customHeight="false" outlineLevel="0" collapsed="false">
      <c r="P232" s="180"/>
    </row>
    <row r="233" customFormat="false" ht="15" hidden="false" customHeight="false" outlineLevel="0" collapsed="false">
      <c r="P233" s="180"/>
    </row>
    <row r="234" customFormat="false" ht="15" hidden="false" customHeight="false" outlineLevel="0" collapsed="false">
      <c r="P234" s="180"/>
    </row>
    <row r="235" customFormat="false" ht="15" hidden="false" customHeight="false" outlineLevel="0" collapsed="false">
      <c r="P235" s="180"/>
    </row>
    <row r="236" customFormat="false" ht="15" hidden="false" customHeight="false" outlineLevel="0" collapsed="false">
      <c r="P236" s="180"/>
    </row>
    <row r="237" customFormat="false" ht="15" hidden="false" customHeight="false" outlineLevel="0" collapsed="false">
      <c r="P237" s="180"/>
    </row>
    <row r="238" customFormat="false" ht="15" hidden="false" customHeight="false" outlineLevel="0" collapsed="false">
      <c r="P238" s="180"/>
    </row>
    <row r="239" customFormat="false" ht="15" hidden="false" customHeight="false" outlineLevel="0" collapsed="false">
      <c r="P239" s="180"/>
    </row>
    <row r="240" customFormat="false" ht="15" hidden="false" customHeight="false" outlineLevel="0" collapsed="false">
      <c r="P240" s="180"/>
    </row>
    <row r="241" customFormat="false" ht="15" hidden="false" customHeight="false" outlineLevel="0" collapsed="false">
      <c r="P241" s="180"/>
    </row>
    <row r="242" customFormat="false" ht="15" hidden="false" customHeight="false" outlineLevel="0" collapsed="false">
      <c r="P242" s="180"/>
    </row>
    <row r="243" customFormat="false" ht="15" hidden="false" customHeight="false" outlineLevel="0" collapsed="false">
      <c r="P243" s="180"/>
    </row>
    <row r="244" customFormat="false" ht="15" hidden="false" customHeight="false" outlineLevel="0" collapsed="false">
      <c r="P244" s="180"/>
    </row>
    <row r="245" customFormat="false" ht="15" hidden="false" customHeight="false" outlineLevel="0" collapsed="false">
      <c r="P245" s="180"/>
    </row>
    <row r="246" customFormat="false" ht="15" hidden="false" customHeight="false" outlineLevel="0" collapsed="false">
      <c r="P246" s="180"/>
    </row>
    <row r="247" customFormat="false" ht="15" hidden="false" customHeight="false" outlineLevel="0" collapsed="false">
      <c r="P247" s="180"/>
    </row>
    <row r="248" customFormat="false" ht="15" hidden="false" customHeight="false" outlineLevel="0" collapsed="false">
      <c r="P248" s="180"/>
    </row>
    <row r="249" customFormat="false" ht="15" hidden="false" customHeight="false" outlineLevel="0" collapsed="false">
      <c r="P249" s="180"/>
    </row>
    <row r="250" customFormat="false" ht="15" hidden="false" customHeight="false" outlineLevel="0" collapsed="false">
      <c r="P250" s="180"/>
    </row>
    <row r="251" customFormat="false" ht="15" hidden="false" customHeight="false" outlineLevel="0" collapsed="false">
      <c r="P251" s="180"/>
    </row>
    <row r="252" customFormat="false" ht="15" hidden="false" customHeight="false" outlineLevel="0" collapsed="false">
      <c r="P252" s="180"/>
    </row>
    <row r="253" customFormat="false" ht="15" hidden="false" customHeight="false" outlineLevel="0" collapsed="false">
      <c r="P253" s="180"/>
    </row>
    <row r="254" customFormat="false" ht="15" hidden="false" customHeight="false" outlineLevel="0" collapsed="false">
      <c r="P254" s="180"/>
    </row>
    <row r="255" customFormat="false" ht="15" hidden="false" customHeight="false" outlineLevel="0" collapsed="false">
      <c r="P255" s="180"/>
    </row>
    <row r="256" customFormat="false" ht="15" hidden="false" customHeight="false" outlineLevel="0" collapsed="false">
      <c r="P256" s="180"/>
    </row>
    <row r="257" customFormat="false" ht="15" hidden="false" customHeight="false" outlineLevel="0" collapsed="false">
      <c r="P257" s="180"/>
    </row>
    <row r="258" customFormat="false" ht="15" hidden="false" customHeight="false" outlineLevel="0" collapsed="false">
      <c r="P258" s="180"/>
    </row>
    <row r="259" customFormat="false" ht="15" hidden="false" customHeight="false" outlineLevel="0" collapsed="false">
      <c r="P259" s="180"/>
    </row>
    <row r="260" customFormat="false" ht="15" hidden="false" customHeight="false" outlineLevel="0" collapsed="false">
      <c r="P260" s="180"/>
    </row>
    <row r="261" customFormat="false" ht="15" hidden="false" customHeight="false" outlineLevel="0" collapsed="false">
      <c r="P261" s="180"/>
    </row>
    <row r="262" customFormat="false" ht="15" hidden="false" customHeight="false" outlineLevel="0" collapsed="false">
      <c r="P262" s="180"/>
    </row>
    <row r="263" customFormat="false" ht="15" hidden="false" customHeight="false" outlineLevel="0" collapsed="false">
      <c r="P263" s="180"/>
    </row>
    <row r="264" customFormat="false" ht="15" hidden="false" customHeight="false" outlineLevel="0" collapsed="false">
      <c r="P264" s="180"/>
    </row>
    <row r="265" customFormat="false" ht="15" hidden="false" customHeight="false" outlineLevel="0" collapsed="false">
      <c r="P265" s="180"/>
    </row>
  </sheetData>
  <printOptions headings="false" gridLines="false" gridLinesSet="true" horizontalCentered="false" verticalCentered="false"/>
  <pageMargins left="0.35" right="0.3" top="0.32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3.85"/>
    <col collapsed="false" customWidth="true" hidden="false" outlineLevel="0" max="4" min="4" style="0" width="27.99"/>
    <col collapsed="false" customWidth="true" hidden="false" outlineLevel="0" max="5" min="5" style="0" width="16.7"/>
    <col collapsed="false" customWidth="true" hidden="false" outlineLevel="0" max="6" min="6" style="0" width="14.85"/>
    <col collapsed="false" customWidth="true" hidden="false" outlineLevel="0" max="9" min="7" style="0" width="13.85"/>
    <col collapsed="false" customWidth="true" hidden="false" outlineLevel="0" max="10" min="10" style="0" width="34.13"/>
  </cols>
  <sheetData>
    <row r="1" customFormat="false" ht="15.75" hidden="false" customHeight="false" outlineLevel="0" collapsed="false">
      <c r="A1" s="204" t="str">
        <f aca="false">'Model Assumptions'!A1</f>
        <v>DealBench</v>
      </c>
      <c r="B1" s="60"/>
      <c r="C1" s="60"/>
      <c r="D1" s="60"/>
      <c r="E1" s="60"/>
      <c r="F1" s="60"/>
      <c r="G1" s="60"/>
      <c r="H1" s="60"/>
      <c r="I1" s="60"/>
    </row>
    <row r="2" customFormat="false" ht="15.75" hidden="false" customHeight="false" outlineLevel="0" collapsed="false">
      <c r="A2" s="205" t="s">
        <v>120</v>
      </c>
      <c r="B2" s="206"/>
      <c r="C2" s="206"/>
      <c r="D2" s="206"/>
      <c r="E2" s="206"/>
      <c r="F2" s="206"/>
      <c r="G2" s="206"/>
      <c r="H2" s="206"/>
      <c r="I2" s="206"/>
    </row>
    <row r="3" customFormat="false" ht="15.75" hidden="false" customHeight="false" outlineLevel="0" collapsed="false">
      <c r="A3" s="66" t="s">
        <v>121</v>
      </c>
      <c r="B3" s="67"/>
      <c r="C3" s="67"/>
      <c r="D3" s="67"/>
      <c r="E3" s="67"/>
      <c r="F3" s="67"/>
      <c r="G3" s="67"/>
      <c r="H3" s="67"/>
      <c r="I3" s="67"/>
    </row>
    <row r="4" customFormat="false" ht="15.75" hidden="false" customHeight="false" outlineLevel="0" collapsed="false">
      <c r="A4" s="207"/>
      <c r="B4" s="77"/>
      <c r="C4" s="77"/>
      <c r="D4" s="77"/>
      <c r="E4" s="77"/>
      <c r="F4" s="77"/>
      <c r="G4" s="77"/>
      <c r="H4" s="77"/>
      <c r="I4" s="77"/>
    </row>
    <row r="5" customFormat="false" ht="18.75" hidden="false" customHeight="false" outlineLevel="0" collapsed="false">
      <c r="A5" s="208" t="s">
        <v>122</v>
      </c>
      <c r="B5" s="70"/>
      <c r="C5" s="70"/>
      <c r="D5" s="70"/>
      <c r="E5" s="209"/>
      <c r="F5" s="70"/>
      <c r="G5" s="70"/>
      <c r="H5" s="70"/>
      <c r="I5" s="71"/>
    </row>
    <row r="6" customFormat="false" ht="12.75" hidden="false" customHeight="false" outlineLevel="0" collapsed="false">
      <c r="A6" s="210" t="s">
        <v>123</v>
      </c>
      <c r="B6" s="211"/>
      <c r="C6" s="211"/>
      <c r="D6" s="211"/>
      <c r="E6" s="211" t="n">
        <v>2001</v>
      </c>
      <c r="F6" s="211" t="n">
        <f aca="false">E6+1</f>
        <v>2002</v>
      </c>
      <c r="G6" s="211" t="n">
        <f aca="false">F6+1</f>
        <v>2003</v>
      </c>
      <c r="H6" s="211" t="n">
        <f aca="false">G6+1</f>
        <v>2004</v>
      </c>
      <c r="I6" s="212" t="n">
        <f aca="false">H6+1</f>
        <v>2005</v>
      </c>
    </row>
    <row r="7" customFormat="false" ht="6.75" hidden="false" customHeight="true" outlineLevel="0" collapsed="false">
      <c r="A7" s="155"/>
      <c r="B7" s="52"/>
      <c r="C7" s="52"/>
      <c r="D7" s="52"/>
      <c r="E7" s="213"/>
      <c r="F7" s="213"/>
      <c r="G7" s="213"/>
      <c r="H7" s="213"/>
      <c r="I7" s="214"/>
    </row>
    <row r="8" customFormat="false" ht="12.75" hidden="false" customHeight="false" outlineLevel="0" collapsed="false">
      <c r="A8" s="215" t="s">
        <v>124</v>
      </c>
      <c r="B8" s="216"/>
      <c r="C8" s="216"/>
      <c r="D8" s="216"/>
      <c r="E8" s="216"/>
      <c r="F8" s="216"/>
      <c r="G8" s="216"/>
      <c r="H8" s="216"/>
      <c r="I8" s="217"/>
    </row>
    <row r="9" customFormat="false" ht="12.75" hidden="false" customHeight="false" outlineLevel="0" collapsed="false">
      <c r="A9" s="155"/>
      <c r="B9" s="52" t="s">
        <v>125</v>
      </c>
      <c r="C9" s="52"/>
      <c r="D9" s="52"/>
      <c r="E9" s="218" t="n">
        <f aca="false">'Model Assumptions'!F13+'Model Assumptions'!F21</f>
        <v>3.5802</v>
      </c>
      <c r="F9" s="218" t="n">
        <f aca="false">'Model Assumptions'!H13+'Model Assumptions'!H21</f>
        <v>6.312978</v>
      </c>
      <c r="G9" s="218" t="n">
        <f aca="false">'Model Assumptions'!J13+'Model Assumptions'!J21</f>
        <v>7.332127452</v>
      </c>
      <c r="H9" s="218" t="n">
        <f aca="false">'Model Assumptions'!L13+'Model Assumptions'!L21</f>
        <v>11.1432214269</v>
      </c>
      <c r="I9" s="219" t="n">
        <f aca="false">'Model Assumptions'!N13+'Model Assumptions'!N21</f>
        <v>13.2808216390256</v>
      </c>
    </row>
    <row r="10" customFormat="false" ht="12.75" hidden="false" customHeight="false" outlineLevel="0" collapsed="false">
      <c r="A10" s="155"/>
      <c r="B10" s="52" t="s">
        <v>126</v>
      </c>
      <c r="C10" s="52"/>
      <c r="D10" s="52"/>
      <c r="E10" s="157" t="n">
        <f aca="false">'Model Assumptions'!F37</f>
        <v>4.0938</v>
      </c>
      <c r="F10" s="157" t="n">
        <f aca="false">'Model Assumptions'!H37</f>
        <v>6.379505</v>
      </c>
      <c r="G10" s="157" t="n">
        <f aca="false">'Model Assumptions'!J37</f>
        <v>8.350772045</v>
      </c>
      <c r="H10" s="157" t="n">
        <f aca="false">'Model Assumptions'!L37</f>
        <v>10.038820965525</v>
      </c>
      <c r="I10" s="220" t="n">
        <f aca="false">'Model Assumptions'!N37</f>
        <v>11.4721415144916</v>
      </c>
    </row>
    <row r="11" customFormat="false" ht="15" hidden="false" customHeight="false" outlineLevel="0" collapsed="false">
      <c r="A11" s="155"/>
      <c r="B11" s="52" t="s">
        <v>127</v>
      </c>
      <c r="C11" s="52"/>
      <c r="D11" s="52"/>
      <c r="E11" s="153" t="n">
        <f aca="false">'Model Assumptions'!F45+'Model Assumptions'!F53</f>
        <v>1.6655</v>
      </c>
      <c r="F11" s="153" t="n">
        <f aca="false">'Model Assumptions'!H45+'Model Assumptions'!H53</f>
        <v>4.1010375</v>
      </c>
      <c r="G11" s="153" t="n">
        <f aca="false">'Model Assumptions'!J45+'Model Assumptions'!J53</f>
        <v>8.2969299</v>
      </c>
      <c r="H11" s="153" t="n">
        <f aca="false">'Model Assumptions'!L45+'Model Assumptions'!L53</f>
        <v>12.87419347025</v>
      </c>
      <c r="I11" s="154" t="n">
        <f aca="false">'Model Assumptions'!N45+'Model Assumptions'!N53</f>
        <v>18.891298027805</v>
      </c>
    </row>
    <row r="12" customFormat="false" ht="12.75" hidden="false" customHeight="false" outlineLevel="0" collapsed="false">
      <c r="A12" s="155"/>
      <c r="B12" s="52"/>
      <c r="C12" s="52" t="s">
        <v>128</v>
      </c>
      <c r="D12" s="52"/>
      <c r="E12" s="218" t="n">
        <f aca="false">SUM(E9:E11)</f>
        <v>9.3395</v>
      </c>
      <c r="F12" s="221" t="n">
        <f aca="false">SUM(F9:F11)</f>
        <v>16.7935205</v>
      </c>
      <c r="G12" s="221" t="n">
        <f aca="false">SUM(G9:G11)</f>
        <v>23.979829397</v>
      </c>
      <c r="H12" s="221" t="n">
        <f aca="false">SUM(H9:H11)</f>
        <v>34.056235862675</v>
      </c>
      <c r="I12" s="222" t="n">
        <f aca="false">SUM(I9:I11)</f>
        <v>43.6442611813223</v>
      </c>
    </row>
    <row r="13" customFormat="false" ht="6.75" hidden="false" customHeight="true" outlineLevel="0" collapsed="false">
      <c r="A13" s="155"/>
      <c r="B13" s="52"/>
      <c r="C13" s="52"/>
      <c r="D13" s="52"/>
      <c r="E13" s="223"/>
      <c r="F13" s="223"/>
      <c r="G13" s="223"/>
      <c r="H13" s="223"/>
      <c r="I13" s="224"/>
    </row>
    <row r="14" customFormat="false" ht="12.75" hidden="false" customHeight="false" outlineLevel="0" collapsed="false">
      <c r="A14" s="215" t="s">
        <v>129</v>
      </c>
      <c r="B14" s="216"/>
      <c r="C14" s="216"/>
      <c r="D14" s="216"/>
      <c r="E14" s="225"/>
      <c r="F14" s="226"/>
      <c r="G14" s="225"/>
      <c r="H14" s="225"/>
      <c r="I14" s="227"/>
    </row>
    <row r="15" customFormat="false" ht="12.75" hidden="false" customHeight="false" outlineLevel="0" collapsed="false">
      <c r="A15" s="168"/>
      <c r="B15" s="52" t="s">
        <v>130</v>
      </c>
      <c r="C15" s="52"/>
      <c r="D15" s="52"/>
      <c r="E15" s="218" t="n">
        <f aca="false">'Model Assumptions'!F69</f>
        <v>-0.75</v>
      </c>
      <c r="F15" s="218" t="n">
        <f aca="false">'Model Assumptions'!H69</f>
        <v>-0.8</v>
      </c>
      <c r="G15" s="218" t="n">
        <f aca="false">'Model Assumptions'!J69</f>
        <v>-1</v>
      </c>
      <c r="H15" s="218" t="n">
        <f aca="false">'Model Assumptions'!L69</f>
        <v>-1.25</v>
      </c>
      <c r="I15" s="219" t="n">
        <f aca="false">'Model Assumptions'!N69</f>
        <v>-1.5625</v>
      </c>
      <c r="L15" s="52"/>
    </row>
    <row r="16" customFormat="false" ht="12.75" hidden="false" customHeight="false" outlineLevel="0" collapsed="false">
      <c r="A16" s="168"/>
      <c r="B16" s="52" t="s">
        <v>90</v>
      </c>
      <c r="C16" s="52"/>
      <c r="D16" s="52"/>
      <c r="E16" s="157" t="n">
        <f aca="false">'Model Assumptions'!F70</f>
        <v>0</v>
      </c>
      <c r="F16" s="157" t="n">
        <f aca="false">'Model Assumptions'!H70</f>
        <v>-0.25</v>
      </c>
      <c r="G16" s="157" t="n">
        <f aca="false">'Model Assumptions'!J70</f>
        <v>-0.3</v>
      </c>
      <c r="H16" s="157" t="n">
        <f aca="false">'Model Assumptions'!L70</f>
        <v>-0.36</v>
      </c>
      <c r="I16" s="220" t="n">
        <f aca="false">'Model Assumptions'!N70</f>
        <v>-0.432</v>
      </c>
      <c r="L16" s="52"/>
    </row>
    <row r="17" customFormat="false" ht="15" hidden="false" customHeight="false" outlineLevel="0" collapsed="false">
      <c r="A17" s="168"/>
      <c r="B17" s="52" t="s">
        <v>131</v>
      </c>
      <c r="C17" s="52"/>
      <c r="D17" s="52"/>
      <c r="E17" s="153" t="n">
        <f aca="false">'Model Assumptions'!F74</f>
        <v>-2.4</v>
      </c>
      <c r="F17" s="153" t="n">
        <f aca="false">'Model Assumptions'!H74</f>
        <v>-3.3</v>
      </c>
      <c r="G17" s="153" t="n">
        <f aca="false">'Model Assumptions'!J74</f>
        <v>-3.63</v>
      </c>
      <c r="H17" s="153" t="n">
        <f aca="false">'Model Assumptions'!L74</f>
        <v>-3.993</v>
      </c>
      <c r="I17" s="154" t="n">
        <f aca="false">'Model Assumptions'!N74</f>
        <v>-4.3923</v>
      </c>
      <c r="L17" s="52"/>
    </row>
    <row r="18" customFormat="false" ht="12.75" hidden="false" customHeight="false" outlineLevel="0" collapsed="false">
      <c r="A18" s="155"/>
      <c r="B18" s="52"/>
      <c r="C18" s="52" t="s">
        <v>7</v>
      </c>
      <c r="D18" s="52"/>
      <c r="E18" s="218" t="n">
        <f aca="false">SUM(E15:E17)</f>
        <v>-3.15</v>
      </c>
      <c r="F18" s="221" t="n">
        <f aca="false">SUM(F15:F17)</f>
        <v>-4.35</v>
      </c>
      <c r="G18" s="221" t="n">
        <f aca="false">SUM(G15:G17)</f>
        <v>-4.93</v>
      </c>
      <c r="H18" s="221" t="n">
        <f aca="false">SUM(H15:H17)</f>
        <v>-5.603</v>
      </c>
      <c r="I18" s="222" t="n">
        <f aca="false">SUM(I15:I17)</f>
        <v>-6.3868</v>
      </c>
    </row>
    <row r="19" customFormat="false" ht="6.75" hidden="false" customHeight="true" outlineLevel="0" collapsed="false">
      <c r="A19" s="155"/>
      <c r="B19" s="52"/>
      <c r="C19" s="52"/>
      <c r="D19" s="52"/>
      <c r="E19" s="223"/>
      <c r="F19" s="223"/>
      <c r="G19" s="223"/>
      <c r="H19" s="223"/>
      <c r="I19" s="224"/>
    </row>
    <row r="20" customFormat="false" ht="12.75" hidden="false" customHeight="false" outlineLevel="0" collapsed="false">
      <c r="A20" s="215" t="s">
        <v>132</v>
      </c>
      <c r="B20" s="216"/>
      <c r="C20" s="216"/>
      <c r="D20" s="216"/>
      <c r="E20" s="228" t="n">
        <f aca="false">E12+E18</f>
        <v>6.1895</v>
      </c>
      <c r="F20" s="228" t="n">
        <f aca="false">F12+F18</f>
        <v>12.4435205</v>
      </c>
      <c r="G20" s="228" t="n">
        <f aca="false">G12+G18</f>
        <v>19.049829397</v>
      </c>
      <c r="H20" s="228" t="n">
        <f aca="false">H12+H18</f>
        <v>28.453235862675</v>
      </c>
      <c r="I20" s="229" t="n">
        <f aca="false">I12+I18</f>
        <v>37.2574611813223</v>
      </c>
    </row>
    <row r="21" customFormat="false" ht="12.75" hidden="false" customHeight="false" outlineLevel="0" collapsed="false">
      <c r="A21" s="155"/>
      <c r="B21" s="52" t="s">
        <v>133</v>
      </c>
      <c r="C21" s="52"/>
      <c r="D21" s="52"/>
      <c r="E21" s="218" t="n">
        <f aca="false">'Model Assumptions'!F68</f>
        <v>-4.5</v>
      </c>
      <c r="F21" s="218" t="n">
        <f aca="false">'Model Assumptions'!H68</f>
        <v>-8.3875</v>
      </c>
      <c r="G21" s="218" t="n">
        <f aca="false">'Model Assumptions'!J68</f>
        <v>-10.585</v>
      </c>
      <c r="H21" s="218" t="n">
        <f aca="false">'Model Assumptions'!L68</f>
        <v>-13.183125</v>
      </c>
      <c r="I21" s="219" t="n">
        <f aca="false">'Model Assumptions'!N68</f>
        <v>-16.251275</v>
      </c>
    </row>
    <row r="22" customFormat="false" ht="15" hidden="false" customHeight="false" outlineLevel="0" collapsed="false">
      <c r="A22" s="155"/>
      <c r="B22" s="52" t="s">
        <v>134</v>
      </c>
      <c r="C22" s="52"/>
      <c r="D22" s="52"/>
      <c r="E22" s="153" t="n">
        <f aca="false">'Model Assumptions'!F83</f>
        <v>-2.2</v>
      </c>
      <c r="F22" s="153" t="n">
        <f aca="false">'Model Assumptions'!H83</f>
        <v>-2.37</v>
      </c>
      <c r="G22" s="153" t="n">
        <f aca="false">'Model Assumptions'!J83</f>
        <v>-2.607</v>
      </c>
      <c r="H22" s="153" t="n">
        <f aca="false">'Model Assumptions'!L83</f>
        <v>-2.8677</v>
      </c>
      <c r="I22" s="154" t="n">
        <f aca="false">'Model Assumptions'!N83</f>
        <v>-3.15447</v>
      </c>
    </row>
    <row r="23" customFormat="false" ht="6.75" hidden="false" customHeight="true" outlineLevel="0" collapsed="false">
      <c r="A23" s="155"/>
      <c r="B23" s="52"/>
      <c r="C23" s="52"/>
      <c r="D23" s="52"/>
      <c r="E23" s="223"/>
      <c r="F23" s="223"/>
      <c r="G23" s="223"/>
      <c r="H23" s="223"/>
      <c r="I23" s="224"/>
    </row>
    <row r="24" customFormat="false" ht="12.75" hidden="false" customHeight="false" outlineLevel="0" collapsed="false">
      <c r="A24" s="215" t="s">
        <v>135</v>
      </c>
      <c r="B24" s="216"/>
      <c r="C24" s="216"/>
      <c r="D24" s="216"/>
      <c r="E24" s="228" t="n">
        <f aca="false">E20+E21+E22</f>
        <v>-0.510500000000001</v>
      </c>
      <c r="F24" s="228" t="n">
        <f aca="false">F20+F21+F22</f>
        <v>1.6860205</v>
      </c>
      <c r="G24" s="228" t="n">
        <f aca="false">G20+G21+G22</f>
        <v>5.857829397</v>
      </c>
      <c r="H24" s="228" t="n">
        <f aca="false">H20+H21+H22</f>
        <v>12.402410862675</v>
      </c>
      <c r="I24" s="229" t="n">
        <f aca="false">I20+I21+I22</f>
        <v>17.8517161813222</v>
      </c>
    </row>
    <row r="25" customFormat="false" ht="12.75" hidden="false" customHeight="false" outlineLevel="0" collapsed="false">
      <c r="A25" s="155"/>
      <c r="B25" s="52" t="s">
        <v>136</v>
      </c>
      <c r="C25" s="52"/>
      <c r="D25" s="52"/>
      <c r="E25" s="218" t="n">
        <f aca="false">'Model Assumptions'!F115</f>
        <v>-0.0571428571428571</v>
      </c>
      <c r="F25" s="218" t="n">
        <f aca="false">'Model Assumptions'!H115</f>
        <v>-0.0714285714285714</v>
      </c>
      <c r="G25" s="218" t="n">
        <f aca="false">'Model Assumptions'!J115</f>
        <v>-0.0714285714285714</v>
      </c>
      <c r="H25" s="218" t="n">
        <f aca="false">'Model Assumptions'!L115</f>
        <v>-0.0714285714285714</v>
      </c>
      <c r="I25" s="219" t="n">
        <f aca="false">'Model Assumptions'!N115</f>
        <v>-0.0714285714285714</v>
      </c>
      <c r="L25" s="195"/>
    </row>
    <row r="26" customFormat="false" ht="15" hidden="false" customHeight="false" outlineLevel="0" collapsed="false">
      <c r="A26" s="168"/>
      <c r="B26" s="52" t="s">
        <v>137</v>
      </c>
      <c r="C26" s="52"/>
      <c r="D26" s="52"/>
      <c r="E26" s="153" t="n">
        <f aca="false">'Model Assumptions'!F114</f>
        <v>-0.333333333333333</v>
      </c>
      <c r="F26" s="153" t="n">
        <f aca="false">'Model Assumptions'!H114</f>
        <v>-0.333333333333333</v>
      </c>
      <c r="G26" s="153" t="n">
        <f aca="false">'Model Assumptions'!J114</f>
        <v>-0.333333333333333</v>
      </c>
      <c r="H26" s="153" t="n">
        <f aca="false">'Model Assumptions'!L114</f>
        <v>0</v>
      </c>
      <c r="I26" s="154" t="n">
        <f aca="false">'Model Assumptions'!N114</f>
        <v>0</v>
      </c>
      <c r="L26" s="52"/>
    </row>
    <row r="27" customFormat="false" ht="6.75" hidden="false" customHeight="true" outlineLevel="0" collapsed="false">
      <c r="A27" s="155"/>
      <c r="B27" s="52"/>
      <c r="C27" s="52"/>
      <c r="D27" s="52"/>
      <c r="E27" s="223"/>
      <c r="F27" s="230"/>
      <c r="G27" s="230"/>
      <c r="H27" s="230"/>
      <c r="I27" s="231"/>
    </row>
    <row r="28" customFormat="false" ht="12.75" hidden="false" customHeight="false" outlineLevel="0" collapsed="false">
      <c r="A28" s="215" t="s">
        <v>138</v>
      </c>
      <c r="B28" s="216"/>
      <c r="C28" s="216"/>
      <c r="D28" s="216"/>
      <c r="E28" s="228" t="n">
        <f aca="false">E24+E25+E26</f>
        <v>-0.900976190476192</v>
      </c>
      <c r="F28" s="228" t="n">
        <f aca="false">F24+F25+F26</f>
        <v>1.2812585952381</v>
      </c>
      <c r="G28" s="228" t="n">
        <f aca="false">G24+G25+G26</f>
        <v>5.4530674922381</v>
      </c>
      <c r="H28" s="228" t="n">
        <f aca="false">H24+H25+H26</f>
        <v>12.3309822912464</v>
      </c>
      <c r="I28" s="229" t="n">
        <f aca="false">I24+I25+I26</f>
        <v>17.7802876098937</v>
      </c>
    </row>
    <row r="29" customFormat="false" ht="12.75" hidden="false" customHeight="false" outlineLevel="0" collapsed="false">
      <c r="A29" s="232"/>
      <c r="B29" s="233" t="s">
        <v>139</v>
      </c>
      <c r="C29" s="233"/>
      <c r="D29" s="233"/>
      <c r="E29" s="234" t="n">
        <f aca="false">E28/E12</f>
        <v>-0.0964694245383791</v>
      </c>
      <c r="F29" s="234" t="n">
        <f aca="false">F28/F12</f>
        <v>0.0762948183043631</v>
      </c>
      <c r="G29" s="234" t="n">
        <f aca="false">G28/G12</f>
        <v>0.227402263876002</v>
      </c>
      <c r="H29" s="234" t="n">
        <f aca="false">H28/H12</f>
        <v>0.362077075721717</v>
      </c>
      <c r="I29" s="235" t="n">
        <f aca="false">I28/I12</f>
        <v>0.4073911925333</v>
      </c>
    </row>
    <row r="30" customFormat="false" ht="12.75" hidden="false" customHeight="false" outlineLevel="0" collapsed="false">
      <c r="A30" s="155"/>
      <c r="B30" s="52" t="s">
        <v>140</v>
      </c>
      <c r="C30" s="52"/>
      <c r="D30" s="52"/>
      <c r="E30" s="218" t="n">
        <v>0</v>
      </c>
      <c r="F30" s="221" t="n">
        <v>0</v>
      </c>
      <c r="G30" s="221" t="n">
        <v>0</v>
      </c>
      <c r="H30" s="221" t="n">
        <v>0</v>
      </c>
      <c r="I30" s="222" t="n">
        <v>0</v>
      </c>
    </row>
    <row r="31" customFormat="false" ht="6.75" hidden="false" customHeight="true" outlineLevel="0" collapsed="false">
      <c r="A31" s="155"/>
      <c r="B31" s="52"/>
      <c r="C31" s="52"/>
      <c r="D31" s="52"/>
      <c r="E31" s="218"/>
      <c r="F31" s="221"/>
      <c r="G31" s="221"/>
      <c r="H31" s="221"/>
      <c r="I31" s="222"/>
    </row>
    <row r="32" customFormat="false" ht="12.75" hidden="false" customHeight="false" outlineLevel="0" collapsed="false">
      <c r="A32" s="215" t="s">
        <v>141</v>
      </c>
      <c r="B32" s="216"/>
      <c r="C32" s="216"/>
      <c r="D32" s="216"/>
      <c r="E32" s="228" t="n">
        <f aca="false">+E28+E30</f>
        <v>-0.900976190476192</v>
      </c>
      <c r="F32" s="228" t="n">
        <f aca="false">+F28+F30</f>
        <v>1.2812585952381</v>
      </c>
      <c r="G32" s="228" t="n">
        <f aca="false">+G28+G30</f>
        <v>5.4530674922381</v>
      </c>
      <c r="H32" s="228" t="n">
        <f aca="false">+H28+H30</f>
        <v>12.3309822912464</v>
      </c>
      <c r="I32" s="229" t="n">
        <f aca="false">+I28+I30</f>
        <v>17.7802876098937</v>
      </c>
    </row>
    <row r="33" customFormat="false" ht="6.75" hidden="false" customHeight="true" outlineLevel="0" collapsed="false">
      <c r="A33" s="155"/>
      <c r="B33" s="52"/>
      <c r="C33" s="52"/>
      <c r="D33" s="52"/>
      <c r="E33" s="218"/>
      <c r="F33" s="221"/>
      <c r="G33" s="221"/>
      <c r="H33" s="221"/>
      <c r="I33" s="222"/>
    </row>
    <row r="34" customFormat="false" ht="12.75" hidden="false" customHeight="false" outlineLevel="0" collapsed="false">
      <c r="A34" s="155"/>
      <c r="B34" s="52" t="s">
        <v>142</v>
      </c>
      <c r="C34" s="52"/>
      <c r="D34" s="236" t="n">
        <v>0.37</v>
      </c>
      <c r="E34" s="237" t="n">
        <f aca="false">-IF(E32&lt;0,0,E32*$D34)</f>
        <v>-0</v>
      </c>
      <c r="F34" s="237" t="n">
        <f aca="false">-IF(F32&lt;0,0,F32*$D34)</f>
        <v>-0.474065680238096</v>
      </c>
      <c r="G34" s="237" t="n">
        <f aca="false">-IF(G32&lt;0,0,G32*$D34)</f>
        <v>-2.0176349721281</v>
      </c>
      <c r="H34" s="237" t="n">
        <f aca="false">-IF(H32&lt;0,0,H32*$D34)</f>
        <v>-4.56246344776118</v>
      </c>
      <c r="I34" s="238" t="n">
        <f aca="false">-IF(I32&lt;0,0,I32*$D34)</f>
        <v>-6.57870641566066</v>
      </c>
    </row>
    <row r="35" customFormat="false" ht="6.75" hidden="false" customHeight="true" outlineLevel="0" collapsed="false">
      <c r="A35" s="155"/>
      <c r="B35" s="52"/>
      <c r="C35" s="52"/>
      <c r="D35" s="52"/>
      <c r="E35" s="218"/>
      <c r="F35" s="221"/>
      <c r="G35" s="221"/>
      <c r="H35" s="221"/>
      <c r="I35" s="222"/>
    </row>
    <row r="36" customFormat="false" ht="13.5" hidden="false" customHeight="false" outlineLevel="0" collapsed="false">
      <c r="A36" s="239" t="s">
        <v>143</v>
      </c>
      <c r="B36" s="240"/>
      <c r="C36" s="240"/>
      <c r="D36" s="240"/>
      <c r="E36" s="241" t="n">
        <f aca="false">E32+E34</f>
        <v>-0.900976190476192</v>
      </c>
      <c r="F36" s="242" t="n">
        <f aca="false">F32+F34</f>
        <v>0.807192915000002</v>
      </c>
      <c r="G36" s="242" t="n">
        <f aca="false">G32+G34</f>
        <v>3.43543252011</v>
      </c>
      <c r="H36" s="242" t="n">
        <f aca="false">H32+H34</f>
        <v>7.76851884348525</v>
      </c>
      <c r="I36" s="243" t="n">
        <f aca="false">I32+I34</f>
        <v>11.201581194233</v>
      </c>
    </row>
    <row r="37" customFormat="false" ht="13.5" hidden="false" customHeight="false" outlineLevel="0" collapsed="false">
      <c r="A37" s="155"/>
      <c r="B37" s="52"/>
      <c r="C37" s="52"/>
      <c r="D37" s="52"/>
      <c r="E37" s="52"/>
      <c r="F37" s="244"/>
      <c r="G37" s="244"/>
      <c r="H37" s="244"/>
      <c r="I37" s="244"/>
    </row>
    <row r="38" customFormat="false" ht="18" hidden="false" customHeight="false" outlineLevel="0" collapsed="false">
      <c r="A38" s="208" t="s">
        <v>144</v>
      </c>
      <c r="B38" s="70"/>
      <c r="C38" s="70"/>
      <c r="D38" s="70"/>
      <c r="E38" s="70"/>
      <c r="F38" s="70"/>
      <c r="G38" s="70"/>
      <c r="H38" s="70"/>
      <c r="I38" s="70"/>
      <c r="J38" s="71"/>
    </row>
    <row r="39" customFormat="false" ht="12.75" hidden="false" customHeight="false" outlineLevel="0" collapsed="false">
      <c r="A39" s="155"/>
      <c r="B39" s="245" t="s">
        <v>145</v>
      </c>
      <c r="C39" s="246"/>
      <c r="D39" s="246"/>
      <c r="E39" s="246"/>
      <c r="F39" s="246"/>
      <c r="G39" s="246"/>
      <c r="H39" s="246"/>
      <c r="I39" s="246"/>
      <c r="J39" s="247"/>
    </row>
    <row r="40" customFormat="false" ht="12.75" hidden="false" customHeight="false" outlineLevel="0" collapsed="false">
      <c r="A40" s="155"/>
      <c r="B40" s="248"/>
      <c r="C40" s="52" t="s">
        <v>146</v>
      </c>
      <c r="D40" s="52"/>
      <c r="E40" s="52"/>
      <c r="F40" s="52"/>
      <c r="G40" s="52"/>
      <c r="H40" s="52"/>
      <c r="I40" s="52"/>
      <c r="J40" s="249" t="n">
        <f aca="false">I36</f>
        <v>11.201581194233</v>
      </c>
    </row>
    <row r="41" customFormat="false" ht="12.75" hidden="false" customHeight="false" outlineLevel="0" collapsed="false">
      <c r="A41" s="155"/>
      <c r="B41" s="248"/>
      <c r="C41" s="52" t="s">
        <v>147</v>
      </c>
      <c r="D41" s="52"/>
      <c r="E41" s="52"/>
      <c r="F41" s="52"/>
      <c r="G41" s="52"/>
      <c r="H41" s="52"/>
      <c r="I41" s="52"/>
      <c r="J41" s="250" t="n">
        <v>20</v>
      </c>
    </row>
    <row r="42" customFormat="false" ht="13.5" hidden="false" customHeight="false" outlineLevel="0" collapsed="false">
      <c r="A42" s="155"/>
      <c r="B42" s="251"/>
      <c r="C42" s="252" t="s">
        <v>148</v>
      </c>
      <c r="D42" s="252"/>
      <c r="E42" s="252"/>
      <c r="F42" s="252"/>
      <c r="G42" s="252"/>
      <c r="H42" s="252"/>
      <c r="I42" s="252"/>
      <c r="J42" s="253" t="n">
        <f aca="false">J40*J41</f>
        <v>224.03162388466</v>
      </c>
    </row>
    <row r="43" customFormat="false" ht="12.75" hidden="false" customHeight="false" outlineLevel="0" collapsed="false">
      <c r="A43" s="155"/>
      <c r="B43" s="52"/>
      <c r="C43" s="52"/>
      <c r="D43" s="52"/>
      <c r="E43" s="52"/>
      <c r="F43" s="52"/>
      <c r="G43" s="52"/>
      <c r="H43" s="52"/>
      <c r="I43" s="52"/>
      <c r="J43" s="212" t="s">
        <v>148</v>
      </c>
    </row>
    <row r="44" customFormat="false" ht="12.75" hidden="false" customHeight="false" outlineLevel="0" collapsed="false">
      <c r="A44" s="155"/>
      <c r="B44" s="52"/>
      <c r="C44" s="52"/>
      <c r="D44" s="52"/>
      <c r="E44" s="254" t="n">
        <v>37073</v>
      </c>
      <c r="F44" s="254" t="n">
        <v>37438</v>
      </c>
      <c r="G44" s="254" t="n">
        <v>37803</v>
      </c>
      <c r="H44" s="254" t="n">
        <v>38169</v>
      </c>
      <c r="I44" s="254" t="n">
        <v>38534</v>
      </c>
      <c r="J44" s="255" t="n">
        <v>38899</v>
      </c>
    </row>
    <row r="45" customFormat="false" ht="12.75" hidden="false" customHeight="false" outlineLevel="0" collapsed="false">
      <c r="A45" s="155" t="s">
        <v>149</v>
      </c>
      <c r="B45" s="52"/>
      <c r="C45" s="52"/>
      <c r="D45" s="52"/>
      <c r="E45" s="256" t="n">
        <f aca="false">E36</f>
        <v>-0.900976190476192</v>
      </c>
      <c r="F45" s="256" t="n">
        <f aca="false">F36</f>
        <v>0.807192915000002</v>
      </c>
      <c r="G45" s="256" t="n">
        <f aca="false">G36</f>
        <v>3.43543252011</v>
      </c>
      <c r="H45" s="256" t="n">
        <f aca="false">H36</f>
        <v>7.76851884348525</v>
      </c>
      <c r="I45" s="256" t="n">
        <f aca="false">I36</f>
        <v>11.201581194233</v>
      </c>
      <c r="J45" s="249"/>
    </row>
    <row r="46" customFormat="false" ht="12.75" hidden="false" customHeight="false" outlineLevel="0" collapsed="false">
      <c r="A46" s="155" t="s">
        <v>150</v>
      </c>
      <c r="B46" s="52"/>
      <c r="C46" s="52"/>
      <c r="D46" s="52"/>
      <c r="E46" s="256" t="n">
        <f aca="false">E25</f>
        <v>-0.0571428571428571</v>
      </c>
      <c r="F46" s="256" t="n">
        <f aca="false">F25</f>
        <v>-0.0714285714285714</v>
      </c>
      <c r="G46" s="256" t="n">
        <f aca="false">G25</f>
        <v>-0.0714285714285714</v>
      </c>
      <c r="H46" s="256" t="n">
        <f aca="false">H25</f>
        <v>-0.0714285714285714</v>
      </c>
      <c r="I46" s="256" t="n">
        <f aca="false">I25</f>
        <v>-0.0714285714285714</v>
      </c>
      <c r="J46" s="249"/>
    </row>
    <row r="47" customFormat="false" ht="12.75" hidden="false" customHeight="false" outlineLevel="0" collapsed="false">
      <c r="A47" s="155" t="s">
        <v>151</v>
      </c>
      <c r="B47" s="52"/>
      <c r="C47" s="52"/>
      <c r="D47" s="52"/>
      <c r="E47" s="256" t="n">
        <f aca="false">E26</f>
        <v>-0.333333333333333</v>
      </c>
      <c r="F47" s="256" t="n">
        <f aca="false">F26</f>
        <v>-0.333333333333333</v>
      </c>
      <c r="G47" s="256" t="n">
        <f aca="false">G26</f>
        <v>-0.333333333333333</v>
      </c>
      <c r="H47" s="256" t="n">
        <f aca="false">H26</f>
        <v>0</v>
      </c>
      <c r="I47" s="256" t="n">
        <f aca="false">I26</f>
        <v>0</v>
      </c>
      <c r="J47" s="249"/>
    </row>
    <row r="48" customFormat="false" ht="12.75" hidden="false" customHeight="false" outlineLevel="0" collapsed="false">
      <c r="A48" s="31" t="s">
        <v>152</v>
      </c>
      <c r="B48" s="52"/>
      <c r="C48" s="52"/>
      <c r="D48" s="52"/>
      <c r="E48" s="256" t="n">
        <f aca="false">-'Cash Flows'!E18</f>
        <v>1.4</v>
      </c>
      <c r="F48" s="256" t="n">
        <f aca="false">-'Cash Flows'!F18</f>
        <v>0.1</v>
      </c>
      <c r="G48" s="256" t="n">
        <f aca="false">-'Cash Flows'!G18</f>
        <v>0</v>
      </c>
      <c r="H48" s="256" t="n">
        <f aca="false">-'Cash Flows'!H18</f>
        <v>0</v>
      </c>
      <c r="I48" s="256" t="n">
        <f aca="false">-'Cash Flows'!I18</f>
        <v>0</v>
      </c>
      <c r="J48" s="249"/>
    </row>
    <row r="49" customFormat="false" ht="15" hidden="false" customHeight="false" outlineLevel="0" collapsed="false">
      <c r="A49" s="31" t="s">
        <v>153</v>
      </c>
      <c r="B49" s="52"/>
      <c r="C49" s="52"/>
      <c r="D49" s="52"/>
      <c r="E49" s="257" t="n">
        <f aca="false">-'Cash Flows'!E13</f>
        <v>0.341856164383561</v>
      </c>
      <c r="F49" s="257" t="n">
        <f aca="false">-'Cash Flows'!F13</f>
        <v>0.486865541095891</v>
      </c>
      <c r="G49" s="257" t="n">
        <f aca="false">-'Cash Flows'!G13</f>
        <v>0.638216165383562</v>
      </c>
      <c r="H49" s="257" t="n">
        <f aca="false">-'Cash Flows'!H13</f>
        <v>0.952009701247601</v>
      </c>
      <c r="I49" s="257" t="n">
        <f aca="false">-'Cash Flows'!I13</f>
        <v>0.841916546134593</v>
      </c>
      <c r="J49" s="249"/>
    </row>
    <row r="50" customFormat="false" ht="12.75" hidden="false" customHeight="false" outlineLevel="0" collapsed="false">
      <c r="A50" s="168" t="s">
        <v>154</v>
      </c>
      <c r="B50" s="109"/>
      <c r="C50" s="109"/>
      <c r="D50" s="109"/>
      <c r="E50" s="258" t="n">
        <f aca="false">SUM(E45:E49)</f>
        <v>0.450403783431179</v>
      </c>
      <c r="F50" s="258" t="n">
        <f aca="false">SUM(F45:F49)</f>
        <v>0.989296551333988</v>
      </c>
      <c r="G50" s="258" t="n">
        <f aca="false">SUM(G45:G49)</f>
        <v>3.66888678073166</v>
      </c>
      <c r="H50" s="258" t="n">
        <f aca="false">SUM(H45:H49)</f>
        <v>8.64909997330427</v>
      </c>
      <c r="I50" s="258" t="n">
        <f aca="false">SUM(I45:I49)</f>
        <v>11.972069168939</v>
      </c>
      <c r="J50" s="259" t="n">
        <f aca="false">J42</f>
        <v>224.03162388466</v>
      </c>
    </row>
    <row r="51" customFormat="false" ht="12.75" hidden="false" customHeight="false" outlineLevel="0" collapsed="false">
      <c r="A51" s="155"/>
      <c r="B51" s="52"/>
      <c r="C51" s="52"/>
      <c r="D51" s="52"/>
      <c r="E51" s="256"/>
      <c r="F51" s="256"/>
      <c r="G51" s="256"/>
      <c r="H51" s="256"/>
      <c r="I51" s="256"/>
      <c r="J51" s="249"/>
    </row>
    <row r="52" customFormat="false" ht="13.5" hidden="false" customHeight="false" outlineLevel="0" collapsed="false">
      <c r="A52" s="172" t="s">
        <v>155</v>
      </c>
      <c r="B52" s="173"/>
      <c r="C52" s="173"/>
      <c r="D52" s="260" t="n">
        <v>0.2</v>
      </c>
      <c r="E52" s="261"/>
      <c r="F52" s="261"/>
      <c r="G52" s="261"/>
      <c r="H52" s="261"/>
      <c r="I52" s="261"/>
      <c r="J52" s="262" t="e">
        <f aca="false">([1]!xnpv,D52,E50:J50,E44:J44)</f>
        <v>#VALUE!</v>
      </c>
    </row>
    <row r="57" customFormat="false" ht="18" hidden="false" customHeight="false" outlineLevel="0" collapsed="false">
      <c r="A57" s="263" t="s">
        <v>156</v>
      </c>
      <c r="B57" s="246"/>
      <c r="C57" s="246"/>
      <c r="D57" s="246"/>
      <c r="E57" s="246"/>
      <c r="F57" s="246"/>
      <c r="G57" s="246"/>
      <c r="H57" s="246"/>
      <c r="I57" s="246"/>
      <c r="J57" s="264"/>
    </row>
    <row r="58" customFormat="false" ht="12.75" hidden="false" customHeight="false" outlineLevel="0" collapsed="false">
      <c r="A58" s="248"/>
      <c r="B58" s="52"/>
      <c r="C58" s="52"/>
      <c r="D58" s="52"/>
      <c r="E58" s="52"/>
      <c r="F58" s="52"/>
      <c r="G58" s="52"/>
      <c r="H58" s="52"/>
      <c r="I58" s="52"/>
      <c r="J58" s="265"/>
    </row>
    <row r="59" customFormat="false" ht="15.75" hidden="false" customHeight="false" outlineLevel="0" collapsed="false">
      <c r="A59" s="266" t="s">
        <v>157</v>
      </c>
      <c r="B59" s="52"/>
      <c r="C59" s="52"/>
      <c r="D59" s="52"/>
      <c r="E59" s="52"/>
      <c r="F59" s="52"/>
      <c r="G59" s="52"/>
      <c r="H59" s="52"/>
      <c r="I59" s="52"/>
      <c r="J59" s="265"/>
    </row>
    <row r="60" customFormat="false" ht="15.75" hidden="false" customHeight="false" outlineLevel="0" collapsed="false">
      <c r="A60" s="266" t="s">
        <v>44</v>
      </c>
      <c r="B60" s="52"/>
      <c r="C60" s="52"/>
      <c r="D60" s="52"/>
      <c r="E60" s="52"/>
      <c r="F60" s="52"/>
      <c r="G60" s="52"/>
      <c r="H60" s="52"/>
      <c r="I60" s="52"/>
      <c r="J60" s="265"/>
    </row>
    <row r="61" customFormat="false" ht="12.75" hidden="false" customHeight="false" outlineLevel="0" collapsed="false">
      <c r="A61" s="267" t="s">
        <v>158</v>
      </c>
      <c r="B61" s="52"/>
      <c r="C61" s="52"/>
      <c r="D61" s="52"/>
      <c r="E61" s="29" t="s">
        <v>159</v>
      </c>
      <c r="F61" s="29"/>
      <c r="G61" s="29"/>
      <c r="H61" s="29"/>
      <c r="I61" s="29"/>
      <c r="J61" s="265"/>
    </row>
    <row r="62" customFormat="false" ht="12.75" hidden="false" customHeight="false" outlineLevel="0" collapsed="false">
      <c r="A62" s="52"/>
      <c r="B62" s="52"/>
      <c r="C62" s="52"/>
      <c r="D62" s="52"/>
      <c r="E62" s="29" t="n">
        <v>2001</v>
      </c>
      <c r="F62" s="29" t="n">
        <f aca="false">E62+1</f>
        <v>2002</v>
      </c>
      <c r="G62" s="29" t="n">
        <f aca="false">F62+1</f>
        <v>2003</v>
      </c>
      <c r="H62" s="29" t="n">
        <f aca="false">G62+1</f>
        <v>2004</v>
      </c>
      <c r="I62" s="29" t="n">
        <f aca="false">H62+1</f>
        <v>2005</v>
      </c>
      <c r="J62" s="265"/>
    </row>
    <row r="63" customFormat="false" ht="7.5" hidden="false" customHeight="true" outlineLevel="0" collapsed="false">
      <c r="A63" s="52"/>
      <c r="B63" s="52"/>
      <c r="C63" s="52"/>
      <c r="D63" s="52"/>
      <c r="E63" s="52"/>
      <c r="F63" s="52"/>
      <c r="G63" s="52"/>
      <c r="H63" s="52"/>
      <c r="I63" s="52"/>
      <c r="J63" s="265"/>
      <c r="K63" s="268"/>
    </row>
    <row r="64" customFormat="false" ht="12.75" hidden="false" customHeight="false" outlineLevel="0" collapsed="false">
      <c r="A64" s="52" t="s">
        <v>160</v>
      </c>
      <c r="B64" s="52"/>
      <c r="C64" s="52"/>
      <c r="D64" s="52"/>
      <c r="E64" s="52" t="n">
        <f aca="false">'Model Assumptions'!F61+'Model Assumptions'!F72+'Model Assumptions'!F75+'Model Assumptions'!F78+'Model Assumptions'!F81</f>
        <v>35</v>
      </c>
      <c r="F64" s="52" t="n">
        <f aca="false">'Model Assumptions'!H61+'Model Assumptions'!H72+'Model Assumptions'!H75+'Model Assumptions'!H78+'Model Assumptions'!H81</f>
        <v>48</v>
      </c>
      <c r="G64" s="52" t="n">
        <f aca="false">'Model Assumptions'!J61+'Model Assumptions'!J72+'Model Assumptions'!J75+'Model Assumptions'!J78+'Model Assumptions'!J81</f>
        <v>57</v>
      </c>
      <c r="H64" s="52" t="n">
        <f aca="false">'Model Assumptions'!L61+'Model Assumptions'!L72+'Model Assumptions'!L75+'Model Assumptions'!L78+'Model Assumptions'!L81</f>
        <v>64</v>
      </c>
      <c r="I64" s="52" t="n">
        <f aca="false">'Model Assumptions'!N61+'Model Assumptions'!N72+'Model Assumptions'!N75+'Model Assumptions'!N78+'Model Assumptions'!N81</f>
        <v>72</v>
      </c>
      <c r="J64" s="265"/>
      <c r="L64" s="0" t="s">
        <v>161</v>
      </c>
    </row>
    <row r="65" customFormat="false" ht="7.5" hidden="false" customHeight="true" outlineLevel="0" collapsed="false">
      <c r="A65" s="52"/>
      <c r="B65" s="52"/>
      <c r="C65" s="52"/>
      <c r="D65" s="52"/>
      <c r="E65" s="52"/>
      <c r="F65" s="52"/>
      <c r="G65" s="52"/>
      <c r="H65" s="52"/>
      <c r="I65" s="52"/>
      <c r="J65" s="265"/>
      <c r="K65" s="268"/>
    </row>
    <row r="66" customFormat="false" ht="12.75" hidden="false" customHeight="false" outlineLevel="0" collapsed="false">
      <c r="A66" s="269" t="s">
        <v>162</v>
      </c>
      <c r="B66" s="52"/>
      <c r="C66" s="52"/>
      <c r="D66" s="52"/>
      <c r="E66" s="52"/>
      <c r="F66" s="52"/>
      <c r="G66" s="52"/>
      <c r="H66" s="52"/>
      <c r="I66" s="52"/>
      <c r="J66" s="265"/>
      <c r="K66" s="268"/>
    </row>
    <row r="67" customFormat="false" ht="12.75" hidden="false" customHeight="false" outlineLevel="0" collapsed="false">
      <c r="A67" s="52" t="s">
        <v>163</v>
      </c>
      <c r="B67" s="52"/>
      <c r="C67" s="52"/>
      <c r="D67" s="52"/>
      <c r="E67" s="270" t="n">
        <f aca="false">'Model Assumptions'!F10+'Model Assumptions'!F18+'Model Assumptions'!F26</f>
        <v>1059.152</v>
      </c>
      <c r="F67" s="270" t="n">
        <f aca="false">'Model Assumptions'!H10+'Model Assumptions'!H18+'Model Assumptions'!H26</f>
        <v>2056.2192</v>
      </c>
      <c r="G67" s="270" t="n">
        <f aca="false">'Model Assumptions'!J10+'Model Assumptions'!J18+'Model Assumptions'!J26</f>
        <v>3165.01064</v>
      </c>
      <c r="H67" s="270" t="n">
        <f aca="false">'Model Assumptions'!L10+'Model Assumptions'!L18+'Model Assumptions'!L26</f>
        <v>5889.330532</v>
      </c>
      <c r="I67" s="270" t="n">
        <f aca="false">'Model Assumptions'!N10+'Model Assumptions'!N18+'Model Assumptions'!N26</f>
        <v>8861.02514725</v>
      </c>
      <c r="J67" s="265"/>
      <c r="K67" s="268"/>
    </row>
    <row r="68" customFormat="false" ht="12.75" hidden="false" customHeight="false" outlineLevel="0" collapsed="false">
      <c r="A68" s="195"/>
      <c r="B68" s="271" t="s">
        <v>164</v>
      </c>
      <c r="C68" s="195"/>
      <c r="D68" s="195"/>
      <c r="E68" s="272" t="n">
        <f aca="false">'Income Statement and Valuation'!E67/('Model Assumptions'!F8+'Model Assumptions'!F16+'Model Assumptions'!F24)</f>
        <v>0.0379945760571666</v>
      </c>
      <c r="F68" s="272" t="n">
        <f aca="false">'Income Statement and Valuation'!F67/('Model Assumptions'!H8+'Model Assumptions'!H16+'Model Assumptions'!H24)</f>
        <v>0.0614261047454375</v>
      </c>
      <c r="G68" s="272" t="n">
        <f aca="false">'Income Statement and Valuation'!G67/('Model Assumptions'!J8+'Model Assumptions'!J16+'Model Assumptions'!J24)</f>
        <v>0.0772997210038975</v>
      </c>
      <c r="H68" s="272" t="n">
        <f aca="false">'Income Statement and Valuation'!H67/('Model Assumptions'!L8+'Model Assumptions'!L16+'Model Assumptions'!L24)</f>
        <v>0.115459789904972</v>
      </c>
      <c r="I68" s="272" t="n">
        <f aca="false">'Income Statement and Valuation'!I67/('Model Assumptions'!N8+'Model Assumptions'!N16+'Model Assumptions'!N24)</f>
        <v>0.137016657709127</v>
      </c>
      <c r="J68" s="273"/>
      <c r="L68" s="272"/>
      <c r="N68" s="272"/>
      <c r="O68" s="272"/>
    </row>
    <row r="69" customFormat="false" ht="12.75" hidden="false" customHeight="false" outlineLevel="0" collapsed="false">
      <c r="A69" s="52" t="s">
        <v>165</v>
      </c>
      <c r="B69" s="52"/>
      <c r="C69" s="52"/>
      <c r="D69" s="52"/>
      <c r="E69" s="270" t="n">
        <f aca="false">'Model Assumptions'!F34</f>
        <v>204.69</v>
      </c>
      <c r="F69" s="270" t="n">
        <f aca="false">'Model Assumptions'!H34</f>
        <v>375.265</v>
      </c>
      <c r="G69" s="270" t="n">
        <f aca="false">'Model Assumptions'!J34</f>
        <v>577.9081</v>
      </c>
      <c r="H69" s="270" t="n">
        <f aca="false">'Model Assumptions'!L34</f>
        <v>817.32717</v>
      </c>
      <c r="I69" s="270" t="n">
        <f aca="false">'Model Assumptions'!N34</f>
        <v>1098.850973</v>
      </c>
      <c r="J69" s="265"/>
    </row>
    <row r="70" customFormat="false" ht="12.75" hidden="false" customHeight="false" outlineLevel="0" collapsed="false">
      <c r="A70" s="195"/>
      <c r="B70" s="271" t="s">
        <v>164</v>
      </c>
      <c r="C70" s="195"/>
      <c r="D70" s="195"/>
      <c r="E70" s="272" t="n">
        <f aca="false">'Income Statement and Valuation'!E69/('Model Assumptions'!F32)</f>
        <v>0.03</v>
      </c>
      <c r="F70" s="272" t="n">
        <f aca="false">'Income Statement and Valuation'!F$69/('Model Assumptions'!H32)</f>
        <v>0.05</v>
      </c>
      <c r="G70" s="272" t="n">
        <f aca="false">'Income Statement and Valuation'!G$69/('Model Assumptions'!J32)</f>
        <v>0.07</v>
      </c>
      <c r="H70" s="272" t="n">
        <f aca="false">'Income Statement and Valuation'!H$69/('Model Assumptions'!L32)</f>
        <v>0.09</v>
      </c>
      <c r="I70" s="272" t="n">
        <f aca="false">'Income Statement and Valuation'!I$69/('Model Assumptions'!N32)</f>
        <v>0.11</v>
      </c>
      <c r="J70" s="273"/>
      <c r="L70" s="272"/>
      <c r="N70" s="272"/>
      <c r="O70" s="272"/>
    </row>
    <row r="71" customFormat="false" ht="12.75" hidden="false" customHeight="false" outlineLevel="0" collapsed="false">
      <c r="A71" s="52" t="s">
        <v>166</v>
      </c>
      <c r="B71" s="52"/>
      <c r="C71" s="52"/>
      <c r="D71" s="52"/>
      <c r="E71" s="270" t="n">
        <f aca="false">'Model Assumptions'!F42+'Model Assumptions'!F50</f>
        <v>133.24</v>
      </c>
      <c r="F71" s="270" t="n">
        <f aca="false">'Model Assumptions'!H42+'Model Assumptions'!H50</f>
        <v>385.98</v>
      </c>
      <c r="G71" s="270" t="n">
        <f aca="false">'Model Assumptions'!J42+'Model Assumptions'!J50</f>
        <v>918.6912</v>
      </c>
      <c r="H71" s="270" t="n">
        <f aca="false">'Model Assumptions'!L42+'Model Assumptions'!L50</f>
        <v>1677.07792</v>
      </c>
      <c r="I71" s="270" t="n">
        <f aca="false">'Model Assumptions'!N42+'Model Assumptions'!N50</f>
        <v>2895.183424</v>
      </c>
      <c r="J71" s="265"/>
    </row>
    <row r="72" customFormat="false" ht="12.75" hidden="false" customHeight="false" outlineLevel="0" collapsed="false">
      <c r="A72" s="195"/>
      <c r="B72" s="271" t="s">
        <v>164</v>
      </c>
      <c r="C72" s="195"/>
      <c r="D72" s="195"/>
      <c r="E72" s="272" t="n">
        <f aca="false">'Income Statement and Valuation'!E$71/('Model Assumptions'!F40+'Model Assumptions'!F48)</f>
        <v>0.0187056015723712</v>
      </c>
      <c r="F72" s="272" t="n">
        <f aca="false">'Income Statement and Valuation'!F$71/('Model Assumptions'!H40+'Model Assumptions'!H48)</f>
        <v>0.0387056015723712</v>
      </c>
      <c r="G72" s="272" t="n">
        <f aca="false">'Income Statement and Valuation'!G$71/('Model Assumptions'!J40+'Model Assumptions'!J48)</f>
        <v>0.0658037343815808</v>
      </c>
      <c r="H72" s="272" t="n">
        <f aca="false">'Income Statement and Valuation'!H$71/('Model Assumptions'!L40+'Model Assumptions'!L48)</f>
        <v>0.0858037343815808</v>
      </c>
      <c r="I72" s="272" t="n">
        <f aca="false">'Income Statement and Valuation'!I$71/('Model Assumptions'!N40+'Model Assumptions'!N48)</f>
        <v>0.105803734381581</v>
      </c>
      <c r="J72" s="273"/>
      <c r="L72" s="272"/>
    </row>
    <row r="73" customFormat="false" ht="7.5" hidden="false" customHeight="true" outlineLevel="0" collapsed="false">
      <c r="A73" s="52"/>
      <c r="B73" s="52"/>
      <c r="C73" s="52"/>
      <c r="D73" s="52"/>
      <c r="E73" s="52"/>
      <c r="F73" s="52"/>
      <c r="G73" s="52"/>
      <c r="H73" s="52"/>
      <c r="I73" s="52"/>
      <c r="J73" s="265"/>
      <c r="K73" s="268"/>
    </row>
    <row r="74" customFormat="false" ht="12.75" hidden="false" customHeight="false" outlineLevel="0" collapsed="false">
      <c r="A74" s="269" t="s">
        <v>167</v>
      </c>
      <c r="B74" s="52"/>
      <c r="C74" s="52"/>
      <c r="D74" s="52"/>
      <c r="E74" s="52"/>
      <c r="F74" s="52"/>
      <c r="G74" s="52"/>
      <c r="H74" s="52"/>
      <c r="I74" s="52"/>
      <c r="J74" s="265"/>
    </row>
    <row r="75" customFormat="false" ht="12.75" hidden="false" customHeight="false" outlineLevel="0" collapsed="false">
      <c r="A75" s="52" t="s">
        <v>125</v>
      </c>
      <c r="B75" s="52"/>
      <c r="C75" s="52"/>
      <c r="D75" s="52"/>
      <c r="E75" s="256" t="n">
        <f aca="false">E9</f>
        <v>3.5802</v>
      </c>
      <c r="F75" s="256" t="n">
        <f aca="false">F9</f>
        <v>6.312978</v>
      </c>
      <c r="G75" s="256" t="n">
        <f aca="false">G9</f>
        <v>7.332127452</v>
      </c>
      <c r="H75" s="256" t="n">
        <f aca="false">H9</f>
        <v>11.1432214269</v>
      </c>
      <c r="I75" s="256" t="n">
        <f aca="false">I9</f>
        <v>13.2808216390256</v>
      </c>
      <c r="J75" s="265"/>
    </row>
    <row r="76" customFormat="false" ht="12.75" hidden="false" customHeight="false" outlineLevel="0" collapsed="false">
      <c r="A76" s="52" t="s">
        <v>126</v>
      </c>
      <c r="B76" s="52"/>
      <c r="C76" s="52"/>
      <c r="D76" s="52"/>
      <c r="E76" s="274" t="n">
        <f aca="false">E10</f>
        <v>4.0938</v>
      </c>
      <c r="F76" s="274" t="n">
        <f aca="false">F10</f>
        <v>6.379505</v>
      </c>
      <c r="G76" s="274" t="n">
        <f aca="false">G10</f>
        <v>8.350772045</v>
      </c>
      <c r="H76" s="274" t="n">
        <f aca="false">H10</f>
        <v>10.038820965525</v>
      </c>
      <c r="I76" s="274" t="n">
        <f aca="false">I10</f>
        <v>11.4721415144916</v>
      </c>
      <c r="J76" s="265"/>
    </row>
    <row r="77" customFormat="false" ht="15" hidden="false" customHeight="false" outlineLevel="0" collapsed="false">
      <c r="A77" s="52" t="s">
        <v>127</v>
      </c>
      <c r="B77" s="52"/>
      <c r="C77" s="52"/>
      <c r="D77" s="52"/>
      <c r="E77" s="199" t="n">
        <f aca="false">E11</f>
        <v>1.6655</v>
      </c>
      <c r="F77" s="199" t="n">
        <f aca="false">F11</f>
        <v>4.1010375</v>
      </c>
      <c r="G77" s="199" t="n">
        <f aca="false">G11</f>
        <v>8.2969299</v>
      </c>
      <c r="H77" s="199" t="n">
        <f aca="false">H11</f>
        <v>12.87419347025</v>
      </c>
      <c r="I77" s="199" t="n">
        <f aca="false">I11</f>
        <v>18.891298027805</v>
      </c>
      <c r="J77" s="265"/>
    </row>
    <row r="78" customFormat="false" ht="12.75" hidden="false" customHeight="false" outlineLevel="0" collapsed="false">
      <c r="A78" s="109" t="s">
        <v>168</v>
      </c>
      <c r="B78" s="275"/>
      <c r="C78" s="109"/>
      <c r="D78" s="109"/>
      <c r="E78" s="258" t="n">
        <f aca="false">SUM(E75:E77)</f>
        <v>9.3395</v>
      </c>
      <c r="F78" s="258" t="n">
        <f aca="false">SUM(F75:F77)</f>
        <v>16.7935205</v>
      </c>
      <c r="G78" s="258" t="n">
        <f aca="false">SUM(G75:G77)</f>
        <v>23.979829397</v>
      </c>
      <c r="H78" s="258" t="n">
        <f aca="false">SUM(H75:H77)</f>
        <v>34.056235862675</v>
      </c>
      <c r="I78" s="258" t="n">
        <f aca="false">SUM(I75:I77)</f>
        <v>43.6442611813223</v>
      </c>
      <c r="J78" s="276"/>
    </row>
    <row r="79" customFormat="false" ht="12.75" hidden="false" customHeight="false" outlineLevel="0" collapsed="false">
      <c r="A79" s="52"/>
      <c r="B79" s="271" t="s">
        <v>169</v>
      </c>
      <c r="C79" s="52"/>
      <c r="D79" s="52"/>
      <c r="E79" s="277" t="s">
        <v>170</v>
      </c>
      <c r="F79" s="234" t="n">
        <f aca="false">F78/E78-1</f>
        <v>0.798117725788319</v>
      </c>
      <c r="G79" s="234" t="n">
        <f aca="false">G78/F78-1</f>
        <v>0.427921524673757</v>
      </c>
      <c r="H79" s="234" t="n">
        <f aca="false">H78/G78-1</f>
        <v>0.420203425923272</v>
      </c>
      <c r="I79" s="234" t="n">
        <f aca="false">I78/H78-1</f>
        <v>0.281535086769691</v>
      </c>
      <c r="J79" s="265"/>
    </row>
    <row r="80" customFormat="false" ht="7.5" hidden="false" customHeight="true" outlineLevel="0" collapsed="false">
      <c r="A80" s="52"/>
      <c r="B80" s="52"/>
      <c r="C80" s="52"/>
      <c r="D80" s="52"/>
      <c r="E80" s="52"/>
      <c r="F80" s="52"/>
      <c r="G80" s="52"/>
      <c r="H80" s="52"/>
      <c r="I80" s="52"/>
      <c r="J80" s="265"/>
      <c r="K80" s="268"/>
    </row>
    <row r="81" customFormat="false" ht="12.75" hidden="false" customHeight="false" outlineLevel="0" collapsed="false">
      <c r="A81" s="109" t="s">
        <v>171</v>
      </c>
      <c r="B81" s="109"/>
      <c r="C81" s="109"/>
      <c r="D81" s="109"/>
      <c r="E81" s="258" t="n">
        <f aca="false">E24</f>
        <v>-0.510500000000001</v>
      </c>
      <c r="F81" s="258" t="n">
        <f aca="false">F24</f>
        <v>1.6860205</v>
      </c>
      <c r="G81" s="258" t="n">
        <f aca="false">G24</f>
        <v>5.857829397</v>
      </c>
      <c r="H81" s="258" t="n">
        <f aca="false">H24</f>
        <v>12.402410862675</v>
      </c>
      <c r="I81" s="258" t="n">
        <f aca="false">I24</f>
        <v>17.8517161813222</v>
      </c>
      <c r="J81" s="276"/>
    </row>
    <row r="82" customFormat="false" ht="12.75" hidden="false" customHeight="false" outlineLevel="0" collapsed="false">
      <c r="A82" s="52"/>
      <c r="B82" s="271" t="s">
        <v>139</v>
      </c>
      <c r="C82" s="52"/>
      <c r="D82" s="52"/>
      <c r="E82" s="234" t="n">
        <f aca="false">E81/E78</f>
        <v>-0.0546603137212914</v>
      </c>
      <c r="F82" s="234" t="n">
        <f aca="false">F81/F78</f>
        <v>0.100397084697041</v>
      </c>
      <c r="G82" s="234" t="n">
        <f aca="false">G81/G78</f>
        <v>0.24428152928114</v>
      </c>
      <c r="H82" s="234" t="n">
        <f aca="false">H81/H78</f>
        <v>0.364174447014205</v>
      </c>
      <c r="I82" s="234" t="n">
        <f aca="false">I81/I78</f>
        <v>0.409027801092941</v>
      </c>
      <c r="J82" s="265"/>
    </row>
    <row r="83" customFormat="false" ht="12.75" hidden="false" customHeight="false" outlineLevel="0" collapsed="false">
      <c r="A83" s="52"/>
      <c r="B83" s="52"/>
      <c r="C83" s="52"/>
      <c r="D83" s="52"/>
      <c r="E83" s="52"/>
      <c r="F83" s="52"/>
      <c r="G83" s="52"/>
      <c r="H83" s="52"/>
      <c r="I83" s="52"/>
      <c r="J83" s="265"/>
    </row>
    <row r="84" customFormat="false" ht="12.75" hidden="false" customHeight="false" outlineLevel="0" collapsed="false">
      <c r="A84" s="248"/>
      <c r="B84" s="52"/>
      <c r="C84" s="52"/>
      <c r="D84" s="52"/>
      <c r="E84" s="52"/>
      <c r="F84" s="52"/>
      <c r="G84" s="52"/>
      <c r="H84" s="52"/>
      <c r="I84" s="52"/>
      <c r="J84" s="265"/>
    </row>
    <row r="85" customFormat="false" ht="12.75" hidden="false" customHeight="false" outlineLevel="0" collapsed="false">
      <c r="A85" s="251"/>
      <c r="B85" s="252"/>
      <c r="C85" s="252"/>
      <c r="D85" s="252"/>
      <c r="E85" s="252"/>
      <c r="F85" s="252"/>
      <c r="G85" s="252"/>
      <c r="H85" s="252"/>
      <c r="I85" s="252"/>
      <c r="J85" s="278"/>
    </row>
  </sheetData>
  <mergeCells count="1">
    <mergeCell ref="E61:I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4" min="4" style="0" width="14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9" min="7" style="0" width="13.85"/>
    <col collapsed="false" customWidth="true" hidden="false" outlineLevel="0" max="13" min="13" style="0" width="10.28"/>
  </cols>
  <sheetData>
    <row r="1" customFormat="false" ht="15.75" hidden="false" customHeight="false" outlineLevel="0" collapsed="false">
      <c r="A1" s="279" t="str">
        <f aca="false">'Model Assumptions'!A1</f>
        <v>DealBench</v>
      </c>
      <c r="B1" s="60"/>
      <c r="C1" s="60"/>
      <c r="D1" s="60"/>
      <c r="E1" s="60"/>
      <c r="F1" s="60"/>
      <c r="G1" s="60"/>
      <c r="H1" s="60"/>
      <c r="I1" s="60"/>
    </row>
    <row r="2" customFormat="false" ht="15.75" hidden="false" customHeight="false" outlineLevel="0" collapsed="false">
      <c r="A2" s="205" t="s">
        <v>172</v>
      </c>
      <c r="B2" s="64"/>
      <c r="C2" s="64"/>
      <c r="D2" s="64"/>
      <c r="E2" s="64"/>
      <c r="F2" s="64"/>
      <c r="G2" s="64"/>
      <c r="H2" s="64"/>
      <c r="I2" s="64"/>
    </row>
    <row r="3" customFormat="false" ht="15.75" hidden="false" customHeight="false" outlineLevel="0" collapsed="false">
      <c r="A3" s="66" t="s">
        <v>121</v>
      </c>
      <c r="B3" s="67"/>
      <c r="C3" s="67"/>
      <c r="D3" s="67"/>
      <c r="E3" s="67"/>
      <c r="F3" s="67"/>
      <c r="G3" s="67"/>
      <c r="H3" s="67"/>
      <c r="I3" s="67"/>
    </row>
    <row r="4" customFormat="false" ht="13.5" hidden="false" customHeight="false" outlineLevel="0" collapsed="false">
      <c r="G4" s="280"/>
    </row>
    <row r="5" customFormat="false" ht="18.75" hidden="false" customHeight="false" outlineLevel="0" collapsed="false">
      <c r="A5" s="208" t="s">
        <v>173</v>
      </c>
      <c r="B5" s="70"/>
      <c r="C5" s="70"/>
      <c r="D5" s="70"/>
      <c r="E5" s="209"/>
      <c r="F5" s="70"/>
      <c r="G5" s="70"/>
      <c r="H5" s="70"/>
      <c r="I5" s="71"/>
    </row>
    <row r="6" customFormat="false" ht="12.75" hidden="false" customHeight="false" outlineLevel="0" collapsed="false">
      <c r="A6" s="281" t="s">
        <v>174</v>
      </c>
      <c r="B6" s="211"/>
      <c r="C6" s="211"/>
      <c r="D6" s="211"/>
      <c r="E6" s="211" t="n">
        <v>2001</v>
      </c>
      <c r="F6" s="211" t="n">
        <f aca="false">E6+1</f>
        <v>2002</v>
      </c>
      <c r="G6" s="211" t="n">
        <f aca="false">F6+1</f>
        <v>2003</v>
      </c>
      <c r="H6" s="211" t="n">
        <f aca="false">G6+1</f>
        <v>2004</v>
      </c>
      <c r="I6" s="212" t="n">
        <f aca="false">H6+1</f>
        <v>2005</v>
      </c>
    </row>
    <row r="7" customFormat="false" ht="12.75" hidden="false" customHeight="false" outlineLevel="0" collapsed="false">
      <c r="A7" s="155"/>
      <c r="B7" s="52"/>
      <c r="C7" s="52"/>
      <c r="D7" s="52"/>
      <c r="E7" s="52"/>
      <c r="F7" s="52"/>
      <c r="G7" s="52"/>
      <c r="H7" s="52"/>
      <c r="I7" s="184"/>
    </row>
    <row r="8" customFormat="false" ht="12.75" hidden="false" customHeight="false" outlineLevel="0" collapsed="false">
      <c r="A8" s="282" t="s">
        <v>175</v>
      </c>
      <c r="B8" s="283"/>
      <c r="C8" s="283"/>
      <c r="D8" s="283"/>
      <c r="E8" s="283"/>
      <c r="F8" s="283"/>
      <c r="G8" s="283"/>
      <c r="H8" s="283"/>
      <c r="I8" s="284"/>
    </row>
    <row r="9" customFormat="false" ht="12.75" hidden="false" customHeight="false" outlineLevel="0" collapsed="false">
      <c r="A9" s="155" t="s">
        <v>176</v>
      </c>
      <c r="B9" s="52"/>
      <c r="C9" s="52"/>
      <c r="D9" s="52"/>
      <c r="E9" s="52"/>
      <c r="F9" s="52"/>
      <c r="G9" s="52"/>
      <c r="H9" s="52"/>
      <c r="I9" s="184"/>
    </row>
    <row r="10" customFormat="false" ht="12.75" hidden="false" customHeight="false" outlineLevel="0" collapsed="false">
      <c r="A10" s="155" t="s">
        <v>177</v>
      </c>
      <c r="B10" s="52"/>
      <c r="C10" s="52"/>
      <c r="D10" s="52"/>
      <c r="E10" s="218" t="n">
        <f aca="false">'Cash Flows'!E29</f>
        <v>-2.25235616438356</v>
      </c>
      <c r="F10" s="221" t="n">
        <f aca="false">E10+'Cash Flows'!F29</f>
        <v>-1.62726688571755</v>
      </c>
      <c r="G10" s="221" t="n">
        <f aca="false">F10+'Cash Flows'!G29</f>
        <v>1.5747113737708</v>
      </c>
      <c r="H10" s="221" t="n">
        <f aca="false">G10+'Cash Flows'!H29</f>
        <v>8.46264908743701</v>
      </c>
      <c r="I10" s="222" t="n">
        <f aca="false">H10+'Cash Flows'!I29</f>
        <v>18.893742306964</v>
      </c>
    </row>
    <row r="11" customFormat="false" ht="12.75" hidden="false" customHeight="false" outlineLevel="0" collapsed="false">
      <c r="A11" s="155" t="s">
        <v>178</v>
      </c>
      <c r="B11" s="52"/>
      <c r="C11" s="52"/>
      <c r="D11" s="52"/>
      <c r="E11" s="285" t="n">
        <v>0</v>
      </c>
      <c r="F11" s="285" t="n">
        <v>0</v>
      </c>
      <c r="G11" s="285" t="n">
        <v>0</v>
      </c>
      <c r="H11" s="285" t="n">
        <v>0</v>
      </c>
      <c r="I11" s="286" t="n">
        <v>0</v>
      </c>
    </row>
    <row r="12" customFormat="false" ht="12.75" hidden="false" customHeight="false" outlineLevel="0" collapsed="false">
      <c r="A12" s="155" t="s">
        <v>179</v>
      </c>
      <c r="B12" s="52"/>
      <c r="C12" s="52"/>
      <c r="D12" s="52"/>
      <c r="E12" s="157" t="n">
        <f aca="false">'Cash Flows'!E37</f>
        <v>1.15144520547945</v>
      </c>
      <c r="F12" s="157" t="n">
        <f aca="false">'Cash Flows'!F37</f>
        <v>2.07043403424658</v>
      </c>
      <c r="G12" s="157" t="n">
        <f aca="false">'Cash Flows'!G37</f>
        <v>2.95641732291781</v>
      </c>
      <c r="H12" s="157" t="n">
        <f aca="false">'Cash Flows'!H37</f>
        <v>4.19871401046678</v>
      </c>
      <c r="I12" s="220" t="n">
        <f aca="false">'Cash Flows'!I37</f>
        <v>5.38079932372466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customFormat="false" ht="12.75" hidden="false" customHeight="false" outlineLevel="0" collapsed="false">
      <c r="A13" s="155" t="s">
        <v>180</v>
      </c>
      <c r="B13" s="52"/>
      <c r="C13" s="52"/>
      <c r="D13" s="52"/>
      <c r="E13" s="285" t="n">
        <v>0</v>
      </c>
      <c r="F13" s="285" t="n">
        <v>0</v>
      </c>
      <c r="G13" s="285" t="n">
        <v>0</v>
      </c>
      <c r="H13" s="285" t="n">
        <v>0</v>
      </c>
      <c r="I13" s="286" t="n">
        <v>0</v>
      </c>
    </row>
    <row r="14" customFormat="false" ht="12.75" hidden="false" customHeight="false" outlineLevel="0" collapsed="false">
      <c r="A14" s="287" t="s">
        <v>181</v>
      </c>
      <c r="B14" s="288"/>
      <c r="C14" s="288"/>
      <c r="D14" s="288"/>
      <c r="E14" s="289" t="n">
        <f aca="false">SUM(E10:E13)</f>
        <v>-1.10091095890411</v>
      </c>
      <c r="F14" s="289" t="n">
        <f aca="false">SUM(F10:F13)</f>
        <v>0.443167148529029</v>
      </c>
      <c r="G14" s="289" t="n">
        <f aca="false">SUM(G10:G13)</f>
        <v>4.53112869668861</v>
      </c>
      <c r="H14" s="289" t="n">
        <f aca="false">SUM(H10:H13)</f>
        <v>12.6613630979038</v>
      </c>
      <c r="I14" s="290" t="n">
        <f aca="false">SUM(I10:I13)</f>
        <v>24.2745416306887</v>
      </c>
    </row>
    <row r="15" customFormat="false" ht="12.75" hidden="false" customHeight="false" outlineLevel="0" collapsed="false">
      <c r="A15" s="155" t="s">
        <v>182</v>
      </c>
      <c r="B15" s="52"/>
      <c r="C15" s="52"/>
      <c r="D15" s="52"/>
      <c r="E15" s="157" t="n">
        <f aca="false">-'Cash Flows'!E18</f>
        <v>1.4</v>
      </c>
      <c r="F15" s="157" t="n">
        <f aca="false">E15-'Cash Flows'!F18</f>
        <v>1.5</v>
      </c>
      <c r="G15" s="157" t="n">
        <f aca="false">F15-'Cash Flows'!G18</f>
        <v>1.5</v>
      </c>
      <c r="H15" s="157" t="n">
        <f aca="false">G15-'Cash Flows'!H18</f>
        <v>1.5</v>
      </c>
      <c r="I15" s="291" t="n">
        <f aca="false">H15-'Cash Flows'!I18</f>
        <v>1.5</v>
      </c>
    </row>
    <row r="16" customFormat="false" ht="12.75" hidden="false" customHeight="false" outlineLevel="0" collapsed="false">
      <c r="A16" s="155" t="s">
        <v>183</v>
      </c>
      <c r="B16" s="52"/>
      <c r="C16" s="52"/>
      <c r="D16" s="52"/>
      <c r="E16" s="157" t="n">
        <f aca="false">-'Cash Flows'!E45</f>
        <v>-0.390476190476191</v>
      </c>
      <c r="F16" s="157" t="n">
        <f aca="false">-'Cash Flows'!F45</f>
        <v>-0.795238095238095</v>
      </c>
      <c r="G16" s="157" t="n">
        <f aca="false">-'Cash Flows'!G45</f>
        <v>-1.2</v>
      </c>
      <c r="H16" s="157" t="n">
        <f aca="false">-'Cash Flows'!H45</f>
        <v>-1.27142857142857</v>
      </c>
      <c r="I16" s="292" t="n">
        <f aca="false">-'Cash Flows'!I45</f>
        <v>-1.34285714285714</v>
      </c>
    </row>
    <row r="17" customFormat="false" ht="12.75" hidden="false" customHeight="false" outlineLevel="0" collapsed="false">
      <c r="A17" s="287" t="s">
        <v>184</v>
      </c>
      <c r="B17" s="288"/>
      <c r="C17" s="288"/>
      <c r="D17" s="288"/>
      <c r="E17" s="289" t="n">
        <f aca="false">SUM(E15:E16)</f>
        <v>1.00952380952381</v>
      </c>
      <c r="F17" s="289" t="n">
        <f aca="false">SUM(F15:F16)</f>
        <v>0.704761904761905</v>
      </c>
      <c r="G17" s="289" t="n">
        <f aca="false">SUM(G15:G16)</f>
        <v>0.3</v>
      </c>
      <c r="H17" s="289" t="n">
        <f aca="false">SUM(H15:H16)</f>
        <v>0.228571428571428</v>
      </c>
      <c r="I17" s="253" t="n">
        <f aca="false">SUM(I15:I16)</f>
        <v>0.157142857142857</v>
      </c>
    </row>
    <row r="18" customFormat="false" ht="12.75" hidden="false" customHeight="false" outlineLevel="0" collapsed="false">
      <c r="A18" s="287" t="s">
        <v>185</v>
      </c>
      <c r="B18" s="288"/>
      <c r="C18" s="288"/>
      <c r="D18" s="288"/>
      <c r="E18" s="293" t="n">
        <v>0</v>
      </c>
      <c r="F18" s="293" t="n">
        <v>0</v>
      </c>
      <c r="G18" s="293" t="n">
        <v>0</v>
      </c>
      <c r="H18" s="293" t="n">
        <v>0</v>
      </c>
      <c r="I18" s="294" t="n">
        <v>0</v>
      </c>
    </row>
    <row r="19" customFormat="false" ht="12.75" hidden="false" customHeight="false" outlineLevel="0" collapsed="false">
      <c r="A19" s="282" t="s">
        <v>186</v>
      </c>
      <c r="B19" s="295"/>
      <c r="C19" s="295"/>
      <c r="D19" s="295"/>
      <c r="E19" s="296" t="n">
        <f aca="false">E14+E17+E18</f>
        <v>-0.0913871493803011</v>
      </c>
      <c r="F19" s="297" t="n">
        <f aca="false">F14+F17+F18</f>
        <v>1.14792905329093</v>
      </c>
      <c r="G19" s="297" t="n">
        <f aca="false">G14+G17+G18</f>
        <v>4.83112869668861</v>
      </c>
      <c r="H19" s="297" t="n">
        <f aca="false">H14+H17+H18</f>
        <v>12.8899345264752</v>
      </c>
      <c r="I19" s="298" t="n">
        <f aca="false">I14+I17+I18</f>
        <v>24.4316844878315</v>
      </c>
    </row>
    <row r="20" customFormat="false" ht="12.75" hidden="false" customHeight="false" outlineLevel="0" collapsed="false">
      <c r="A20" s="155"/>
      <c r="B20" s="52"/>
      <c r="C20" s="52"/>
      <c r="D20" s="52"/>
      <c r="E20" s="256"/>
      <c r="F20" s="256"/>
      <c r="G20" s="256"/>
      <c r="H20" s="256"/>
      <c r="I20" s="249"/>
    </row>
    <row r="21" customFormat="false" ht="12.75" hidden="false" customHeight="false" outlineLevel="0" collapsed="false">
      <c r="A21" s="282" t="s">
        <v>187</v>
      </c>
      <c r="B21" s="283"/>
      <c r="C21" s="283"/>
      <c r="D21" s="283"/>
      <c r="E21" s="299"/>
      <c r="F21" s="299"/>
      <c r="G21" s="299"/>
      <c r="H21" s="299"/>
      <c r="I21" s="300"/>
    </row>
    <row r="22" customFormat="false" ht="12.75" hidden="false" customHeight="false" outlineLevel="0" collapsed="false">
      <c r="A22" s="155" t="s">
        <v>188</v>
      </c>
      <c r="B22" s="52"/>
      <c r="C22" s="52"/>
      <c r="D22" s="52"/>
      <c r="E22" s="256"/>
      <c r="F22" s="256"/>
      <c r="G22" s="256"/>
      <c r="H22" s="256"/>
      <c r="I22" s="249"/>
    </row>
    <row r="23" customFormat="false" ht="12.75" hidden="false" customHeight="false" outlineLevel="0" collapsed="false">
      <c r="A23" s="155" t="s">
        <v>189</v>
      </c>
      <c r="B23" s="52"/>
      <c r="C23" s="52"/>
      <c r="D23" s="52"/>
      <c r="E23" s="256"/>
      <c r="F23" s="256"/>
      <c r="G23" s="256"/>
      <c r="H23" s="256"/>
      <c r="I23" s="249"/>
    </row>
    <row r="24" customFormat="false" ht="12.75" hidden="false" customHeight="false" outlineLevel="0" collapsed="false">
      <c r="A24" s="155" t="s">
        <v>190</v>
      </c>
      <c r="B24" s="52"/>
      <c r="C24" s="52"/>
      <c r="D24" s="52"/>
      <c r="E24" s="256"/>
      <c r="F24" s="256"/>
      <c r="G24" s="256"/>
      <c r="H24" s="256"/>
      <c r="I24" s="249"/>
    </row>
    <row r="25" customFormat="false" ht="12.75" hidden="false" customHeight="false" outlineLevel="0" collapsed="false">
      <c r="A25" s="155" t="s">
        <v>191</v>
      </c>
      <c r="B25" s="52"/>
      <c r="C25" s="52"/>
      <c r="D25" s="52"/>
      <c r="E25" s="221" t="n">
        <f aca="false">'Cash Flows'!E38</f>
        <v>0.809589041095891</v>
      </c>
      <c r="F25" s="221" t="n">
        <f aca="false">'Cash Flows'!F38</f>
        <v>1.24171232876712</v>
      </c>
      <c r="G25" s="221" t="n">
        <f aca="false">'Cash Flows'!G38</f>
        <v>1.48947945205479</v>
      </c>
      <c r="H25" s="221" t="n">
        <f aca="false">'Cash Flows'!H38</f>
        <v>1.77976643835616</v>
      </c>
      <c r="I25" s="222" t="n">
        <f aca="false">'Cash Flows'!I38</f>
        <v>2.11993520547945</v>
      </c>
    </row>
    <row r="26" customFormat="false" ht="12.75" hidden="false" customHeight="false" outlineLevel="0" collapsed="false">
      <c r="A26" s="155" t="s">
        <v>192</v>
      </c>
      <c r="B26" s="52"/>
      <c r="C26" s="52"/>
      <c r="D26" s="52"/>
      <c r="E26" s="221"/>
      <c r="F26" s="221"/>
      <c r="G26" s="221"/>
      <c r="H26" s="221"/>
      <c r="I26" s="222"/>
    </row>
    <row r="27" customFormat="false" ht="12.75" hidden="false" customHeight="false" outlineLevel="0" collapsed="false">
      <c r="A27" s="301" t="s">
        <v>193</v>
      </c>
      <c r="B27" s="252"/>
      <c r="C27" s="252"/>
      <c r="D27" s="252"/>
      <c r="E27" s="302"/>
      <c r="F27" s="302"/>
      <c r="G27" s="302"/>
      <c r="H27" s="302"/>
      <c r="I27" s="253"/>
    </row>
    <row r="28" customFormat="false" ht="12.75" hidden="false" customHeight="false" outlineLevel="0" collapsed="false">
      <c r="A28" s="287" t="s">
        <v>194</v>
      </c>
      <c r="B28" s="288"/>
      <c r="C28" s="288"/>
      <c r="D28" s="288"/>
      <c r="E28" s="303" t="n">
        <f aca="false">SUM(E23:E27)</f>
        <v>0.809589041095891</v>
      </c>
      <c r="F28" s="303" t="n">
        <f aca="false">SUM(F23:F27)</f>
        <v>1.24171232876712</v>
      </c>
      <c r="G28" s="303" t="n">
        <f aca="false">SUM(G23:G27)</f>
        <v>1.48947945205479</v>
      </c>
      <c r="H28" s="303" t="n">
        <f aca="false">SUM(H23:H27)</f>
        <v>1.77976643835616</v>
      </c>
      <c r="I28" s="304" t="n">
        <f aca="false">SUM(I23:I27)</f>
        <v>2.11993520547945</v>
      </c>
    </row>
    <row r="29" customFormat="false" ht="12.75" hidden="false" customHeight="false" outlineLevel="0" collapsed="false">
      <c r="A29" s="155" t="s">
        <v>195</v>
      </c>
      <c r="B29" s="52"/>
      <c r="C29" s="52"/>
      <c r="D29" s="52"/>
      <c r="E29" s="305" t="n">
        <f aca="false">'Cash Flows'!E19</f>
        <v>0</v>
      </c>
      <c r="F29" s="285" t="n">
        <f aca="false">E29+'Cash Flows'!F19</f>
        <v>0</v>
      </c>
      <c r="G29" s="285" t="n">
        <f aca="false">F29+'Cash Flows'!G19</f>
        <v>0</v>
      </c>
      <c r="H29" s="285" t="n">
        <f aca="false">G29+'Cash Flows'!H19</f>
        <v>0</v>
      </c>
      <c r="I29" s="286" t="n">
        <f aca="false">H29+'Cash Flows'!I19</f>
        <v>0</v>
      </c>
    </row>
    <row r="30" customFormat="false" ht="12.75" hidden="false" customHeight="false" outlineLevel="0" collapsed="false">
      <c r="A30" s="306" t="s">
        <v>196</v>
      </c>
      <c r="B30" s="307"/>
      <c r="C30" s="307"/>
      <c r="D30" s="307"/>
      <c r="E30" s="308" t="n">
        <f aca="false">SUM(E28:E29)</f>
        <v>0.809589041095891</v>
      </c>
      <c r="F30" s="309" t="n">
        <f aca="false">SUM(F28:F29)</f>
        <v>1.24171232876712</v>
      </c>
      <c r="G30" s="309" t="n">
        <f aca="false">SUM(G28:G29)</f>
        <v>1.48947945205479</v>
      </c>
      <c r="H30" s="309" t="n">
        <f aca="false">SUM(H28:H29)</f>
        <v>1.77976643835616</v>
      </c>
      <c r="I30" s="310" t="n">
        <f aca="false">SUM(I28:I29)</f>
        <v>2.11993520547945</v>
      </c>
    </row>
    <row r="31" customFormat="false" ht="12.75" hidden="false" customHeight="false" outlineLevel="0" collapsed="false">
      <c r="A31" s="311" t="s">
        <v>197</v>
      </c>
      <c r="B31" s="246"/>
      <c r="C31" s="246"/>
      <c r="D31" s="246"/>
      <c r="E31" s="312"/>
      <c r="F31" s="312"/>
      <c r="G31" s="312"/>
      <c r="H31" s="312"/>
      <c r="I31" s="313"/>
    </row>
    <row r="32" customFormat="false" ht="12.75" hidden="false" customHeight="false" outlineLevel="0" collapsed="false">
      <c r="A32" s="155" t="s">
        <v>198</v>
      </c>
      <c r="B32" s="52"/>
      <c r="C32" s="52"/>
      <c r="D32" s="52"/>
      <c r="E32" s="256"/>
      <c r="F32" s="256"/>
      <c r="G32" s="256"/>
      <c r="H32" s="256"/>
      <c r="I32" s="249"/>
    </row>
    <row r="33" customFormat="false" ht="12.75" hidden="false" customHeight="false" outlineLevel="0" collapsed="false">
      <c r="A33" s="155" t="s">
        <v>199</v>
      </c>
      <c r="B33" s="52"/>
      <c r="C33" s="52"/>
      <c r="D33" s="52"/>
      <c r="E33" s="221" t="n">
        <f aca="false">'Cash Flows'!E23</f>
        <v>0</v>
      </c>
      <c r="F33" s="256" t="n">
        <f aca="false">E33+'Cash Flows'!F23</f>
        <v>0</v>
      </c>
      <c r="G33" s="256" t="n">
        <f aca="false">F33+'Cash Flows'!G23</f>
        <v>0</v>
      </c>
      <c r="H33" s="256" t="n">
        <f aca="false">G33+'Cash Flows'!H23</f>
        <v>0</v>
      </c>
      <c r="I33" s="249" t="n">
        <f aca="false">H33+'Cash Flows'!I23</f>
        <v>0</v>
      </c>
    </row>
    <row r="34" customFormat="false" ht="12.75" hidden="false" customHeight="false" outlineLevel="0" collapsed="false">
      <c r="A34" s="155" t="s">
        <v>200</v>
      </c>
      <c r="B34" s="52"/>
      <c r="C34" s="52"/>
      <c r="D34" s="52"/>
      <c r="E34" s="256"/>
      <c r="F34" s="221"/>
      <c r="G34" s="221"/>
      <c r="H34" s="221"/>
      <c r="I34" s="222"/>
    </row>
    <row r="35" customFormat="false" ht="12.75" hidden="false" customHeight="false" outlineLevel="0" collapsed="false">
      <c r="A35" s="155"/>
      <c r="B35" s="52" t="s">
        <v>201</v>
      </c>
      <c r="C35" s="52"/>
      <c r="D35" s="52"/>
      <c r="E35" s="157" t="n">
        <v>0</v>
      </c>
      <c r="F35" s="157" t="n">
        <f aca="false">E38</f>
        <v>-0.900976190476192</v>
      </c>
      <c r="G35" s="157" t="n">
        <f aca="false">F38</f>
        <v>-0.0937832754761901</v>
      </c>
      <c r="H35" s="157" t="n">
        <f aca="false">G38</f>
        <v>3.34164924463381</v>
      </c>
      <c r="I35" s="220" t="n">
        <f aca="false">H38</f>
        <v>11.1101680881191</v>
      </c>
    </row>
    <row r="36" customFormat="false" ht="12.75" hidden="false" customHeight="false" outlineLevel="0" collapsed="false">
      <c r="A36" s="155"/>
      <c r="B36" s="52" t="s">
        <v>143</v>
      </c>
      <c r="C36" s="52"/>
      <c r="D36" s="52"/>
      <c r="E36" s="157" t="n">
        <f aca="false">'Income Statement and Valuation'!E36</f>
        <v>-0.900976190476192</v>
      </c>
      <c r="F36" s="157" t="n">
        <f aca="false">'Income Statement and Valuation'!F36</f>
        <v>0.807192915000002</v>
      </c>
      <c r="G36" s="157" t="n">
        <f aca="false">'Income Statement and Valuation'!G36</f>
        <v>3.43543252011</v>
      </c>
      <c r="H36" s="157" t="n">
        <f aca="false">'Income Statement and Valuation'!H36</f>
        <v>7.76851884348525</v>
      </c>
      <c r="I36" s="220" t="n">
        <f aca="false">'Income Statement and Valuation'!I36</f>
        <v>11.201581194233</v>
      </c>
    </row>
    <row r="37" customFormat="false" ht="12.75" hidden="false" customHeight="false" outlineLevel="0" collapsed="false">
      <c r="A37" s="301"/>
      <c r="B37" s="252" t="s">
        <v>202</v>
      </c>
      <c r="C37" s="252"/>
      <c r="D37" s="252"/>
      <c r="E37" s="314" t="n">
        <f aca="false">'Cash Flows'!E24</f>
        <v>0</v>
      </c>
      <c r="F37" s="314" t="n">
        <f aca="false">'Cash Flows'!F24</f>
        <v>0</v>
      </c>
      <c r="G37" s="314" t="n">
        <f aca="false">'Cash Flows'!G24</f>
        <v>0</v>
      </c>
      <c r="H37" s="314" t="n">
        <f aca="false">'Cash Flows'!H24</f>
        <v>0</v>
      </c>
      <c r="I37" s="292" t="n">
        <f aca="false">'Cash Flows'!I24</f>
        <v>0</v>
      </c>
    </row>
    <row r="38" customFormat="false" ht="12.75" hidden="false" customHeight="false" outlineLevel="0" collapsed="false">
      <c r="A38" s="155"/>
      <c r="B38" s="52" t="s">
        <v>203</v>
      </c>
      <c r="C38" s="52"/>
      <c r="D38" s="52"/>
      <c r="E38" s="221" t="n">
        <f aca="false">E35+E36-E37</f>
        <v>-0.900976190476192</v>
      </c>
      <c r="F38" s="221" t="n">
        <f aca="false">F35+F36-F37</f>
        <v>-0.0937832754761901</v>
      </c>
      <c r="G38" s="221" t="n">
        <f aca="false">G35+G36-G37</f>
        <v>3.34164924463381</v>
      </c>
      <c r="H38" s="221" t="n">
        <f aca="false">H35+H36-H37</f>
        <v>11.1101680881191</v>
      </c>
      <c r="I38" s="222" t="n">
        <f aca="false">I35+I36-I37</f>
        <v>22.3117492823521</v>
      </c>
    </row>
    <row r="39" customFormat="false" ht="12.75" hidden="false" customHeight="false" outlineLevel="0" collapsed="false">
      <c r="A39" s="155"/>
      <c r="B39" s="52"/>
      <c r="C39" s="52"/>
      <c r="D39" s="52"/>
      <c r="E39" s="256"/>
      <c r="F39" s="221"/>
      <c r="G39" s="221"/>
      <c r="H39" s="221"/>
      <c r="I39" s="222"/>
    </row>
    <row r="40" customFormat="false" ht="12.75" hidden="false" customHeight="false" outlineLevel="0" collapsed="false">
      <c r="A40" s="306" t="s">
        <v>204</v>
      </c>
      <c r="B40" s="307"/>
      <c r="C40" s="307"/>
      <c r="D40" s="307"/>
      <c r="E40" s="308" t="n">
        <f aca="false">SUM(E32:E33,E38)</f>
        <v>-0.900976190476192</v>
      </c>
      <c r="F40" s="309" t="n">
        <f aca="false">SUM(F32:F33,F38)</f>
        <v>-0.0937832754761901</v>
      </c>
      <c r="G40" s="309" t="n">
        <f aca="false">SUM(G32:G33,G38)</f>
        <v>3.34164924463381</v>
      </c>
      <c r="H40" s="309" t="n">
        <f aca="false">SUM(H32:H33,H38)</f>
        <v>11.1101680881191</v>
      </c>
      <c r="I40" s="310" t="n">
        <f aca="false">SUM(I32:I33,I38)</f>
        <v>22.3117492823521</v>
      </c>
    </row>
    <row r="41" customFormat="false" ht="12.75" hidden="false" customHeight="false" outlineLevel="0" collapsed="false">
      <c r="A41" s="287"/>
      <c r="B41" s="288"/>
      <c r="C41" s="288"/>
      <c r="D41" s="288"/>
      <c r="E41" s="289"/>
      <c r="F41" s="289"/>
      <c r="G41" s="289"/>
      <c r="H41" s="289"/>
      <c r="I41" s="290"/>
    </row>
    <row r="42" customFormat="false" ht="13.5" hidden="false" customHeight="false" outlineLevel="0" collapsed="false">
      <c r="A42" s="315" t="s">
        <v>205</v>
      </c>
      <c r="B42" s="316"/>
      <c r="C42" s="316"/>
      <c r="D42" s="316"/>
      <c r="E42" s="317" t="n">
        <f aca="false">E40+E30</f>
        <v>-0.0913871493803011</v>
      </c>
      <c r="F42" s="318" t="n">
        <f aca="false">F40+F30</f>
        <v>1.14792905329093</v>
      </c>
      <c r="G42" s="318" t="n">
        <f aca="false">G40+G30</f>
        <v>4.83112869668861</v>
      </c>
      <c r="H42" s="318" t="n">
        <f aca="false">H40+H30</f>
        <v>12.8899345264752</v>
      </c>
      <c r="I42" s="319" t="n">
        <f aca="false">I40+I30</f>
        <v>24.4316844878315</v>
      </c>
    </row>
    <row r="43" customFormat="false" ht="7.5" hidden="false" customHeight="true" outlineLevel="0" collapsed="false">
      <c r="A43" s="52"/>
      <c r="B43" s="52"/>
      <c r="C43" s="52"/>
      <c r="D43" s="52"/>
      <c r="E43" s="256"/>
      <c r="F43" s="256"/>
      <c r="G43" s="256"/>
      <c r="H43" s="256"/>
      <c r="I43" s="256"/>
    </row>
    <row r="44" customFormat="false" ht="12.75" hidden="false" customHeight="false" outlineLevel="0" collapsed="false">
      <c r="A44" s="52" t="s">
        <v>206</v>
      </c>
      <c r="B44" s="52"/>
      <c r="C44" s="52"/>
      <c r="D44" s="52"/>
      <c r="E44" s="256" t="n">
        <f aca="false">E19-E42</f>
        <v>0</v>
      </c>
      <c r="F44" s="256" t="n">
        <f aca="false">F19-F42</f>
        <v>0</v>
      </c>
      <c r="G44" s="256" t="n">
        <f aca="false">G19-G42</f>
        <v>0</v>
      </c>
      <c r="H44" s="256" t="n">
        <f aca="false">H19-H42</f>
        <v>0</v>
      </c>
      <c r="I44" s="256" t="n">
        <f aca="false">I19-I42</f>
        <v>0</v>
      </c>
    </row>
    <row r="45" customFormat="false" ht="5.25" hidden="false" customHeight="true" outlineLevel="0" collapsed="false">
      <c r="A45" s="52"/>
      <c r="B45" s="52"/>
      <c r="C45" s="52"/>
      <c r="D45" s="52"/>
      <c r="E45" s="256"/>
      <c r="F45" s="256"/>
      <c r="G45" s="320"/>
      <c r="H45" s="320"/>
      <c r="I45" s="320"/>
    </row>
    <row r="46" customFormat="false" ht="12.75" hidden="false" customHeight="false" outlineLevel="0" collapsed="false">
      <c r="G46" s="280"/>
      <c r="H46" s="280"/>
      <c r="I46" s="280"/>
    </row>
    <row r="47" customFormat="false" ht="12.75" hidden="false" customHeight="false" outlineLevel="0" collapsed="false">
      <c r="G47" s="280"/>
    </row>
    <row r="48" customFormat="false" ht="12.75" hidden="false" customHeight="false" outlineLevel="0" collapsed="false">
      <c r="E48" s="256"/>
      <c r="F48" s="256"/>
      <c r="G48" s="256"/>
      <c r="H48" s="256"/>
    </row>
    <row r="49" customFormat="false" ht="12.75" hidden="false" customHeight="false" outlineLevel="0" collapsed="false">
      <c r="A49" s="15"/>
      <c r="E49" s="256"/>
      <c r="F49" s="256"/>
      <c r="G49" s="256"/>
      <c r="H49" s="256"/>
    </row>
    <row r="50" customFormat="false" ht="12.75" hidden="false" customHeight="false" outlineLevel="0" collapsed="false">
      <c r="A50" s="23"/>
    </row>
    <row r="51" customFormat="false" ht="12.75" hidden="false" customHeight="false" outlineLevel="0" collapsed="false">
      <c r="A51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4" min="4" style="0" width="15.99"/>
    <col collapsed="false" customWidth="true" hidden="false" outlineLevel="0" max="5" min="5" style="0" width="13.41"/>
    <col collapsed="false" customWidth="true" hidden="false" outlineLevel="0" max="6" min="6" style="0" width="14.85"/>
    <col collapsed="false" customWidth="true" hidden="false" outlineLevel="0" max="9" min="7" style="0" width="13.85"/>
    <col collapsed="false" customWidth="true" hidden="false" outlineLevel="0" max="10" min="10" style="0" width="10.28"/>
  </cols>
  <sheetData>
    <row r="1" customFormat="false" ht="12.75" hidden="false" customHeight="false" outlineLevel="0" collapsed="false">
      <c r="A1" s="19" t="str">
        <f aca="false">'Model Assumptions'!A1</f>
        <v>DealBench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4" t="s">
        <v>207</v>
      </c>
      <c r="B2" s="5"/>
      <c r="C2" s="5"/>
      <c r="D2" s="5"/>
      <c r="E2" s="5"/>
      <c r="F2" s="5"/>
      <c r="G2" s="5"/>
      <c r="H2" s="5"/>
      <c r="I2" s="5"/>
    </row>
    <row r="3" customFormat="false" ht="13.5" hidden="false" customHeight="false" outlineLevel="0" collapsed="false">
      <c r="A3" s="7" t="s">
        <v>121</v>
      </c>
      <c r="B3" s="21"/>
      <c r="C3" s="21"/>
      <c r="D3" s="21"/>
      <c r="E3" s="21"/>
      <c r="F3" s="21"/>
      <c r="G3" s="21"/>
      <c r="H3" s="21"/>
      <c r="I3" s="21"/>
    </row>
    <row r="5" customFormat="false" ht="13.5" hidden="false" customHeight="false" outlineLevel="0" collapsed="false"/>
    <row r="6" customFormat="false" ht="18.75" hidden="false" customHeight="false" outlineLevel="0" collapsed="false">
      <c r="A6" s="208" t="s">
        <v>208</v>
      </c>
      <c r="B6" s="70"/>
      <c r="C6" s="70"/>
      <c r="D6" s="70"/>
      <c r="E6" s="209"/>
      <c r="F6" s="70"/>
      <c r="G6" s="70"/>
      <c r="H6" s="70"/>
      <c r="I6" s="71"/>
    </row>
    <row r="7" customFormat="false" ht="12.75" hidden="false" customHeight="false" outlineLevel="0" collapsed="false">
      <c r="A7" s="210" t="s">
        <v>123</v>
      </c>
      <c r="B7" s="211"/>
      <c r="C7" s="211"/>
      <c r="D7" s="211"/>
      <c r="E7" s="211" t="n">
        <v>2001</v>
      </c>
      <c r="F7" s="211" t="n">
        <f aca="false">E7+1</f>
        <v>2002</v>
      </c>
      <c r="G7" s="211" t="n">
        <f aca="false">F7+1</f>
        <v>2003</v>
      </c>
      <c r="H7" s="211" t="n">
        <f aca="false">G7+1</f>
        <v>2004</v>
      </c>
      <c r="I7" s="212" t="n">
        <f aca="false">H7+1</f>
        <v>2005</v>
      </c>
    </row>
    <row r="8" customFormat="false" ht="12.75" hidden="false" customHeight="false" outlineLevel="0" collapsed="false">
      <c r="A8" s="155"/>
      <c r="B8" s="52"/>
      <c r="C8" s="52"/>
      <c r="D8" s="52"/>
      <c r="E8" s="213"/>
      <c r="F8" s="213"/>
      <c r="G8" s="213"/>
      <c r="H8" s="213"/>
      <c r="I8" s="214"/>
    </row>
    <row r="9" customFormat="false" ht="12.75" hidden="false" customHeight="false" outlineLevel="0" collapsed="false">
      <c r="A9" s="215" t="s">
        <v>209</v>
      </c>
      <c r="B9" s="216"/>
      <c r="C9" s="216"/>
      <c r="D9" s="216"/>
      <c r="E9" s="216"/>
      <c r="F9" s="216"/>
      <c r="G9" s="216"/>
      <c r="H9" s="216"/>
      <c r="I9" s="217"/>
    </row>
    <row r="10" customFormat="false" ht="12.75" hidden="false" customHeight="false" outlineLevel="0" collapsed="false">
      <c r="A10" s="155"/>
      <c r="B10" s="52"/>
      <c r="C10" s="52"/>
      <c r="D10" s="52"/>
      <c r="E10" s="52"/>
      <c r="F10" s="52"/>
      <c r="G10" s="18"/>
      <c r="H10" s="18"/>
      <c r="I10" s="321"/>
    </row>
    <row r="11" customFormat="false" ht="12.75" hidden="false" customHeight="false" outlineLevel="0" collapsed="false">
      <c r="A11" s="155"/>
      <c r="B11" s="52" t="s">
        <v>143</v>
      </c>
      <c r="C11" s="52"/>
      <c r="D11" s="52"/>
      <c r="E11" s="218" t="n">
        <f aca="false">+'Income Statement and Valuation'!E36</f>
        <v>-0.900976190476192</v>
      </c>
      <c r="F11" s="221" t="n">
        <f aca="false">'Income Statement and Valuation'!F36</f>
        <v>0.807192915000002</v>
      </c>
      <c r="G11" s="221" t="n">
        <f aca="false">'Income Statement and Valuation'!G36</f>
        <v>3.43543252011</v>
      </c>
      <c r="H11" s="221" t="n">
        <f aca="false">'Income Statement and Valuation'!H36</f>
        <v>7.76851884348525</v>
      </c>
      <c r="I11" s="222" t="n">
        <f aca="false">'Income Statement and Valuation'!I36</f>
        <v>11.201581194233</v>
      </c>
    </row>
    <row r="12" customFormat="false" ht="12.75" hidden="false" customHeight="false" outlineLevel="0" collapsed="false">
      <c r="A12" s="155"/>
      <c r="B12" s="52" t="s">
        <v>210</v>
      </c>
      <c r="C12" s="52"/>
      <c r="D12" s="52"/>
      <c r="E12" s="157" t="n">
        <f aca="false">-'Model Assumptions'!F116</f>
        <v>0.390476190476191</v>
      </c>
      <c r="F12" s="157" t="n">
        <f aca="false">-'Model Assumptions'!H116</f>
        <v>0.404761904761905</v>
      </c>
      <c r="G12" s="157" t="n">
        <f aca="false">-'Model Assumptions'!J116</f>
        <v>0.404761904761905</v>
      </c>
      <c r="H12" s="157" t="n">
        <f aca="false">-'Model Assumptions'!L116</f>
        <v>0.0714285714285714</v>
      </c>
      <c r="I12" s="222" t="n">
        <f aca="false">-'Model Assumptions'!N116</f>
        <v>0.0714285714285714</v>
      </c>
    </row>
    <row r="13" customFormat="false" ht="12.75" hidden="false" customHeight="false" outlineLevel="0" collapsed="false">
      <c r="A13" s="155"/>
      <c r="B13" s="52" t="s">
        <v>211</v>
      </c>
      <c r="C13" s="52"/>
      <c r="D13" s="52"/>
      <c r="E13" s="314" t="n">
        <f aca="false">+E43</f>
        <v>-0.341856164383561</v>
      </c>
      <c r="F13" s="314" t="n">
        <f aca="false">F43</f>
        <v>-0.486865541095891</v>
      </c>
      <c r="G13" s="314" t="n">
        <f aca="false">G43</f>
        <v>-0.638216165383562</v>
      </c>
      <c r="H13" s="314" t="n">
        <f aca="false">H43</f>
        <v>-0.952009701247601</v>
      </c>
      <c r="I13" s="292" t="n">
        <f aca="false">I43</f>
        <v>-0.841916546134593</v>
      </c>
    </row>
    <row r="14" customFormat="false" ht="12.75" hidden="false" customHeight="false" outlineLevel="0" collapsed="false">
      <c r="A14" s="155"/>
      <c r="B14" s="52"/>
      <c r="C14" s="52" t="s">
        <v>7</v>
      </c>
      <c r="D14" s="52"/>
      <c r="E14" s="218" t="n">
        <f aca="false">SUM(E11:E13)</f>
        <v>-0.852356164383563</v>
      </c>
      <c r="F14" s="256" t="n">
        <f aca="false">SUM(F11:F13)</f>
        <v>0.725089278666015</v>
      </c>
      <c r="G14" s="256" t="n">
        <f aca="false">SUM(G11:G13)</f>
        <v>3.20197825948835</v>
      </c>
      <c r="H14" s="256" t="n">
        <f aca="false">SUM(H11:H13)</f>
        <v>6.88793771366621</v>
      </c>
      <c r="I14" s="249" t="n">
        <f aca="false">SUM(I11:I13)</f>
        <v>10.431093219527</v>
      </c>
    </row>
    <row r="15" customFormat="false" ht="12.75" hidden="false" customHeight="false" outlineLevel="0" collapsed="false">
      <c r="A15" s="155"/>
      <c r="B15" s="52"/>
      <c r="C15" s="52"/>
      <c r="D15" s="52"/>
      <c r="E15" s="322"/>
      <c r="F15" s="322"/>
      <c r="G15" s="322"/>
      <c r="H15" s="322"/>
      <c r="I15" s="187"/>
    </row>
    <row r="16" customFormat="false" ht="12.75" hidden="false" customHeight="false" outlineLevel="0" collapsed="false">
      <c r="A16" s="215" t="s">
        <v>212</v>
      </c>
      <c r="B16" s="216"/>
      <c r="C16" s="216"/>
      <c r="D16" s="216"/>
      <c r="E16" s="323"/>
      <c r="F16" s="323"/>
      <c r="G16" s="323"/>
      <c r="H16" s="323"/>
      <c r="I16" s="324"/>
    </row>
    <row r="17" customFormat="false" ht="12.75" hidden="false" customHeight="false" outlineLevel="0" collapsed="false">
      <c r="A17" s="155"/>
      <c r="B17" s="52"/>
      <c r="C17" s="52"/>
      <c r="D17" s="52"/>
      <c r="E17" s="322"/>
      <c r="F17" s="322"/>
      <c r="G17" s="322"/>
      <c r="H17" s="322"/>
      <c r="I17" s="187"/>
    </row>
    <row r="18" customFormat="false" ht="12.75" hidden="false" customHeight="false" outlineLevel="0" collapsed="false">
      <c r="A18" s="155"/>
      <c r="B18" s="52" t="s">
        <v>213</v>
      </c>
      <c r="C18" s="52"/>
      <c r="D18" s="52"/>
      <c r="E18" s="218" t="n">
        <f aca="false">-'Model Assumptions'!F96</f>
        <v>-1.4</v>
      </c>
      <c r="F18" s="218" t="n">
        <f aca="false">-'Model Assumptions'!H96</f>
        <v>-0.1</v>
      </c>
      <c r="G18" s="218" t="n">
        <f aca="false">-'Model Assumptions'!I96</f>
        <v>-0</v>
      </c>
      <c r="H18" s="218" t="n">
        <f aca="false">-'Model Assumptions'!J96</f>
        <v>-0</v>
      </c>
      <c r="I18" s="222" t="n">
        <f aca="false">-'Model Assumptions'!K96</f>
        <v>-0</v>
      </c>
    </row>
    <row r="19" customFormat="false" ht="12.75" hidden="false" customHeight="false" outlineLevel="0" collapsed="false">
      <c r="A19" s="155"/>
      <c r="B19" s="52"/>
      <c r="C19" s="52"/>
      <c r="D19" s="52"/>
      <c r="E19" s="256"/>
      <c r="F19" s="256"/>
      <c r="G19" s="256"/>
      <c r="H19" s="256"/>
      <c r="I19" s="249"/>
    </row>
    <row r="20" customFormat="false" ht="12.75" hidden="false" customHeight="false" outlineLevel="0" collapsed="false">
      <c r="A20" s="215" t="s">
        <v>214</v>
      </c>
      <c r="B20" s="216"/>
      <c r="C20" s="216"/>
      <c r="D20" s="216"/>
      <c r="E20" s="228"/>
      <c r="F20" s="228"/>
      <c r="G20" s="228"/>
      <c r="H20" s="228"/>
      <c r="I20" s="229"/>
    </row>
    <row r="21" customFormat="false" ht="12.75" hidden="false" customHeight="false" outlineLevel="0" collapsed="false">
      <c r="A21" s="155"/>
      <c r="B21" s="52"/>
      <c r="C21" s="52"/>
      <c r="D21" s="52"/>
      <c r="E21" s="256"/>
      <c r="F21" s="256"/>
      <c r="G21" s="256"/>
      <c r="H21" s="256"/>
      <c r="I21" s="249"/>
    </row>
    <row r="22" customFormat="false" ht="12.75" hidden="false" customHeight="false" outlineLevel="0" collapsed="false">
      <c r="A22" s="155"/>
      <c r="B22" s="52" t="s">
        <v>215</v>
      </c>
      <c r="C22" s="52"/>
      <c r="D22" s="52"/>
      <c r="E22" s="256"/>
      <c r="F22" s="256"/>
      <c r="G22" s="256"/>
      <c r="H22" s="256"/>
      <c r="I22" s="249"/>
    </row>
    <row r="23" customFormat="false" ht="12.75" hidden="false" customHeight="false" outlineLevel="0" collapsed="false">
      <c r="A23" s="155"/>
      <c r="B23" s="52" t="s">
        <v>216</v>
      </c>
      <c r="C23" s="52"/>
      <c r="D23" s="52"/>
      <c r="E23" s="221" t="n">
        <v>0</v>
      </c>
      <c r="F23" s="221" t="n">
        <v>0</v>
      </c>
      <c r="G23" s="221" t="n">
        <v>0</v>
      </c>
      <c r="H23" s="221" t="n">
        <v>0</v>
      </c>
      <c r="I23" s="222" t="n">
        <v>0</v>
      </c>
    </row>
    <row r="24" customFormat="false" ht="12.75" hidden="false" customHeight="false" outlineLevel="0" collapsed="false">
      <c r="A24" s="155"/>
      <c r="B24" s="52" t="s">
        <v>217</v>
      </c>
      <c r="C24" s="52"/>
      <c r="D24" s="52"/>
      <c r="E24" s="221" t="n">
        <v>0</v>
      </c>
      <c r="F24" s="221" t="n">
        <v>0</v>
      </c>
      <c r="G24" s="221" t="n">
        <v>0</v>
      </c>
      <c r="H24" s="221" t="n">
        <v>0</v>
      </c>
      <c r="I24" s="222" t="n">
        <v>0</v>
      </c>
    </row>
    <row r="25" customFormat="false" ht="12.75" hidden="false" customHeight="false" outlineLevel="0" collapsed="false">
      <c r="A25" s="155"/>
      <c r="B25" s="52" t="s">
        <v>218</v>
      </c>
      <c r="C25" s="52"/>
      <c r="D25" s="52"/>
      <c r="E25" s="256" t="n">
        <v>0</v>
      </c>
      <c r="F25" s="256" t="n">
        <v>0</v>
      </c>
      <c r="G25" s="256" t="n">
        <v>0</v>
      </c>
      <c r="H25" s="256" t="n">
        <v>0</v>
      </c>
      <c r="I25" s="249" t="n">
        <v>0</v>
      </c>
    </row>
    <row r="26" customFormat="false" ht="12.75" hidden="false" customHeight="false" outlineLevel="0" collapsed="false">
      <c r="A26" s="155"/>
      <c r="B26" s="52" t="s">
        <v>219</v>
      </c>
      <c r="C26" s="52"/>
      <c r="D26" s="52"/>
      <c r="E26" s="302" t="n">
        <v>0</v>
      </c>
      <c r="F26" s="302" t="n">
        <v>0</v>
      </c>
      <c r="G26" s="302" t="n">
        <v>0</v>
      </c>
      <c r="H26" s="302"/>
      <c r="I26" s="253" t="n">
        <v>0</v>
      </c>
    </row>
    <row r="27" customFormat="false" ht="12.75" hidden="false" customHeight="false" outlineLevel="0" collapsed="false">
      <c r="A27" s="155"/>
      <c r="B27" s="52"/>
      <c r="C27" s="52" t="s">
        <v>7</v>
      </c>
      <c r="D27" s="52"/>
      <c r="E27" s="218" t="n">
        <f aca="false">SUM(E23:E26)</f>
        <v>0</v>
      </c>
      <c r="F27" s="256" t="n">
        <f aca="false">SUM(F23:F26)</f>
        <v>0</v>
      </c>
      <c r="G27" s="256" t="n">
        <f aca="false">SUM(G23:G26)</f>
        <v>0</v>
      </c>
      <c r="H27" s="256" t="n">
        <f aca="false">SUM(H23:H26)</f>
        <v>0</v>
      </c>
      <c r="I27" s="249" t="n">
        <f aca="false">SUM(I23:I26)</f>
        <v>0</v>
      </c>
    </row>
    <row r="28" customFormat="false" ht="12.75" hidden="false" customHeight="false" outlineLevel="0" collapsed="false">
      <c r="A28" s="155"/>
      <c r="B28" s="52"/>
      <c r="C28" s="52"/>
      <c r="D28" s="52"/>
      <c r="E28" s="322"/>
      <c r="F28" s="322"/>
      <c r="G28" s="322"/>
      <c r="H28" s="322"/>
      <c r="I28" s="187"/>
    </row>
    <row r="29" customFormat="false" ht="13.5" hidden="false" customHeight="false" outlineLevel="0" collapsed="false">
      <c r="A29" s="215" t="s">
        <v>220</v>
      </c>
      <c r="B29" s="216"/>
      <c r="C29" s="216"/>
      <c r="D29" s="216"/>
      <c r="E29" s="325" t="n">
        <f aca="false">+E27+E18+E14</f>
        <v>-2.25235616438356</v>
      </c>
      <c r="F29" s="325" t="n">
        <f aca="false">+F27+F18+F14</f>
        <v>0.625089278666015</v>
      </c>
      <c r="G29" s="325" t="n">
        <f aca="false">+G27+G18+G14</f>
        <v>3.20197825948835</v>
      </c>
      <c r="H29" s="325" t="n">
        <f aca="false">+H27+H18+H14</f>
        <v>6.88793771366621</v>
      </c>
      <c r="I29" s="326" t="n">
        <f aca="false">+I27+I18+I14</f>
        <v>10.431093219527</v>
      </c>
    </row>
    <row r="30" customFormat="false" ht="13.5" hidden="false" customHeight="false" outlineLevel="0" collapsed="false">
      <c r="A30" s="155"/>
      <c r="B30" s="52"/>
      <c r="C30" s="52"/>
      <c r="D30" s="52"/>
      <c r="E30" s="256"/>
      <c r="F30" s="256"/>
      <c r="G30" s="256"/>
      <c r="H30" s="256"/>
      <c r="I30" s="249"/>
    </row>
    <row r="31" customFormat="false" ht="13.5" hidden="false" customHeight="false" outlineLevel="0" collapsed="false">
      <c r="A31" s="239" t="s">
        <v>221</v>
      </c>
      <c r="B31" s="240"/>
      <c r="C31" s="240"/>
      <c r="D31" s="240"/>
      <c r="E31" s="241" t="n">
        <f aca="false">E29</f>
        <v>-2.25235616438356</v>
      </c>
      <c r="F31" s="327" t="n">
        <f aca="false">F29+E31</f>
        <v>-1.62726688571755</v>
      </c>
      <c r="G31" s="327" t="n">
        <f aca="false">G29+F31</f>
        <v>1.5747113737708</v>
      </c>
      <c r="H31" s="327" t="n">
        <f aca="false">H29+G31</f>
        <v>8.46264908743701</v>
      </c>
      <c r="I31" s="328" t="n">
        <f aca="false">I29+H31</f>
        <v>18.893742306964</v>
      </c>
    </row>
    <row r="32" customFormat="false" ht="12.75" hidden="false" customHeight="false" outlineLevel="0" collapsed="false">
      <c r="A32" s="155"/>
      <c r="B32" s="52"/>
      <c r="C32" s="52"/>
      <c r="D32" s="52"/>
      <c r="E32" s="322"/>
      <c r="F32" s="322"/>
      <c r="G32" s="322"/>
      <c r="H32" s="322"/>
      <c r="I32" s="322"/>
    </row>
    <row r="35" customFormat="false" ht="12.75" hidden="false" customHeight="false" outlineLevel="0" collapsed="false">
      <c r="A35" s="329" t="s">
        <v>222</v>
      </c>
      <c r="B35" s="246"/>
      <c r="C35" s="246"/>
      <c r="D35" s="246"/>
      <c r="E35" s="246"/>
      <c r="F35" s="246"/>
      <c r="G35" s="246"/>
      <c r="H35" s="246"/>
      <c r="I35" s="264"/>
    </row>
    <row r="36" customFormat="false" ht="12.75" hidden="false" customHeight="false" outlineLevel="0" collapsed="false">
      <c r="A36" s="330"/>
      <c r="B36" s="331"/>
      <c r="C36" s="331"/>
      <c r="D36" s="331" t="s">
        <v>223</v>
      </c>
      <c r="E36" s="331"/>
      <c r="F36" s="331" t="s">
        <v>224</v>
      </c>
      <c r="G36" s="331"/>
      <c r="H36" s="331"/>
      <c r="I36" s="332"/>
    </row>
    <row r="37" customFormat="false" ht="12.75" hidden="false" customHeight="false" outlineLevel="0" collapsed="false">
      <c r="A37" s="330"/>
      <c r="B37" s="331" t="s">
        <v>225</v>
      </c>
      <c r="C37" s="331"/>
      <c r="D37" s="331" t="n">
        <v>45</v>
      </c>
      <c r="E37" s="333" t="n">
        <f aca="false">'Income Statement and Valuation'!E12/(365/$D37)</f>
        <v>1.15144520547945</v>
      </c>
      <c r="F37" s="333" t="n">
        <f aca="false">'Income Statement and Valuation'!F12/(365/$D37)</f>
        <v>2.07043403424658</v>
      </c>
      <c r="G37" s="333" t="n">
        <f aca="false">'Income Statement and Valuation'!G12/(365/$D37)</f>
        <v>2.95641732291781</v>
      </c>
      <c r="H37" s="333" t="n">
        <f aca="false">'Income Statement and Valuation'!H12/(365/$D37)</f>
        <v>4.19871401046678</v>
      </c>
      <c r="I37" s="334" t="n">
        <f aca="false">'Income Statement and Valuation'!I12/(365/$D37)</f>
        <v>5.38079932372466</v>
      </c>
    </row>
    <row r="38" customFormat="false" ht="12.75" hidden="false" customHeight="false" outlineLevel="0" collapsed="false">
      <c r="A38" s="330"/>
      <c r="B38" s="331" t="s">
        <v>226</v>
      </c>
      <c r="C38" s="331"/>
      <c r="D38" s="331" t="n">
        <v>30</v>
      </c>
      <c r="E38" s="333" t="n">
        <f aca="false">-SUM('Income Statement and Valuation'!E15+'Income Statement and Valuation'!E16+'Income Statement and Valuation'!E17+'Income Statement and Valuation'!E21+'Income Statement and Valuation'!E22)/(365/'Cash Flows'!$D$38)</f>
        <v>0.809589041095891</v>
      </c>
      <c r="F38" s="333" t="n">
        <f aca="false">-SUM('Income Statement and Valuation'!F15+'Income Statement and Valuation'!F16+'Income Statement and Valuation'!F17+'Income Statement and Valuation'!F21+'Income Statement and Valuation'!F22)/(365/'Cash Flows'!$D$38)</f>
        <v>1.24171232876712</v>
      </c>
      <c r="G38" s="333" t="n">
        <f aca="false">-SUM('Income Statement and Valuation'!G15+'Income Statement and Valuation'!G16+'Income Statement and Valuation'!G17+'Income Statement and Valuation'!G21+'Income Statement and Valuation'!G22)/(365/'Cash Flows'!$D$38)</f>
        <v>1.48947945205479</v>
      </c>
      <c r="H38" s="333" t="n">
        <f aca="false">-SUM('Income Statement and Valuation'!H15+'Income Statement and Valuation'!H16+'Income Statement and Valuation'!H17+'Income Statement and Valuation'!H21+'Income Statement and Valuation'!H22)/(365/'Cash Flows'!$D$38)</f>
        <v>1.77976643835616</v>
      </c>
      <c r="I38" s="334" t="n">
        <f aca="false">-SUM('Income Statement and Valuation'!I15+'Income Statement and Valuation'!I16+'Income Statement and Valuation'!I17+'Income Statement and Valuation'!I21+'Income Statement and Valuation'!I22)/(365/'Cash Flows'!$D$38)</f>
        <v>2.11993520547945</v>
      </c>
    </row>
    <row r="39" customFormat="false" ht="6.75" hidden="false" customHeight="true" outlineLevel="0" collapsed="false">
      <c r="A39" s="330"/>
      <c r="B39" s="331"/>
      <c r="C39" s="331"/>
      <c r="D39" s="331"/>
      <c r="E39" s="331"/>
      <c r="F39" s="335"/>
      <c r="G39" s="335"/>
      <c r="H39" s="335"/>
      <c r="I39" s="336"/>
    </row>
    <row r="40" customFormat="false" ht="12.75" hidden="false" customHeight="false" outlineLevel="0" collapsed="false">
      <c r="A40" s="330"/>
      <c r="B40" s="337" t="s">
        <v>211</v>
      </c>
      <c r="C40" s="331"/>
      <c r="D40" s="331"/>
      <c r="E40" s="331"/>
      <c r="F40" s="335"/>
      <c r="G40" s="335"/>
      <c r="H40" s="335"/>
      <c r="I40" s="336"/>
    </row>
    <row r="41" customFormat="false" ht="12.75" hidden="false" customHeight="false" outlineLevel="0" collapsed="false">
      <c r="A41" s="330"/>
      <c r="B41" s="331" t="s">
        <v>227</v>
      </c>
      <c r="C41" s="331"/>
      <c r="D41" s="331"/>
      <c r="E41" s="333" t="n">
        <f aca="false">D41-E37</f>
        <v>-1.15144520547945</v>
      </c>
      <c r="F41" s="333" t="n">
        <f aca="false">+E37-F37</f>
        <v>-0.918988828767124</v>
      </c>
      <c r="G41" s="333" t="n">
        <f aca="false">+F37-G37</f>
        <v>-0.885983288671233</v>
      </c>
      <c r="H41" s="333" t="n">
        <f aca="false">+G37-H37</f>
        <v>-1.24229668754897</v>
      </c>
      <c r="I41" s="334" t="n">
        <f aca="false">+H37-I37</f>
        <v>-1.18208531325788</v>
      </c>
      <c r="J41" s="338"/>
    </row>
    <row r="42" customFormat="false" ht="12.75" hidden="false" customHeight="false" outlineLevel="0" collapsed="false">
      <c r="A42" s="330"/>
      <c r="B42" s="331" t="s">
        <v>228</v>
      </c>
      <c r="C42" s="331"/>
      <c r="D42" s="331"/>
      <c r="E42" s="339" t="n">
        <f aca="false">D42+E38</f>
        <v>0.809589041095891</v>
      </c>
      <c r="F42" s="339" t="n">
        <f aca="false">+F38-E38</f>
        <v>0.432123287671233</v>
      </c>
      <c r="G42" s="339" t="n">
        <f aca="false">+G38-F38</f>
        <v>0.247767123287671</v>
      </c>
      <c r="H42" s="339" t="n">
        <f aca="false">+H38-G38</f>
        <v>0.29028698630137</v>
      </c>
      <c r="I42" s="340" t="n">
        <f aca="false">+I38-H38</f>
        <v>0.340168767123288</v>
      </c>
      <c r="J42" s="338"/>
    </row>
    <row r="43" customFormat="false" ht="12.75" hidden="false" customHeight="false" outlineLevel="0" collapsed="false">
      <c r="A43" s="330"/>
      <c r="B43" s="331" t="s">
        <v>229</v>
      </c>
      <c r="C43" s="331"/>
      <c r="D43" s="331"/>
      <c r="E43" s="341" t="n">
        <f aca="false">E41+E42</f>
        <v>-0.341856164383561</v>
      </c>
      <c r="F43" s="341" t="n">
        <f aca="false">F41+F42</f>
        <v>-0.486865541095891</v>
      </c>
      <c r="G43" s="341" t="n">
        <f aca="false">G41+G42</f>
        <v>-0.638216165383562</v>
      </c>
      <c r="H43" s="341" t="n">
        <f aca="false">H41+H42</f>
        <v>-0.952009701247601</v>
      </c>
      <c r="I43" s="342" t="n">
        <f aca="false">I41+I42</f>
        <v>-0.841916546134593</v>
      </c>
      <c r="J43" s="338"/>
    </row>
    <row r="44" customFormat="false" ht="6.75" hidden="false" customHeight="true" outlineLevel="0" collapsed="false">
      <c r="A44" s="330"/>
      <c r="B44" s="331"/>
      <c r="C44" s="331"/>
      <c r="D44" s="331"/>
      <c r="E44" s="331"/>
      <c r="F44" s="331"/>
      <c r="G44" s="331"/>
      <c r="H44" s="331"/>
      <c r="I44" s="332"/>
    </row>
    <row r="45" customFormat="false" ht="12.75" hidden="false" customHeight="false" outlineLevel="0" collapsed="false">
      <c r="A45" s="330"/>
      <c r="B45" s="331" t="s">
        <v>230</v>
      </c>
      <c r="C45" s="331"/>
      <c r="D45" s="331"/>
      <c r="E45" s="341" t="n">
        <f aca="false">E12</f>
        <v>0.390476190476191</v>
      </c>
      <c r="F45" s="341" t="n">
        <f aca="false">E45+F12</f>
        <v>0.795238095238095</v>
      </c>
      <c r="G45" s="341" t="n">
        <f aca="false">F45+G12</f>
        <v>1.2</v>
      </c>
      <c r="H45" s="341" t="n">
        <f aca="false">G45+H12</f>
        <v>1.27142857142857</v>
      </c>
      <c r="I45" s="342" t="n">
        <f aca="false">H45+I12</f>
        <v>1.34285714285714</v>
      </c>
    </row>
    <row r="46" customFormat="false" ht="12.75" hidden="false" customHeight="false" outlineLevel="0" collapsed="false">
      <c r="A46" s="343"/>
      <c r="B46" s="344"/>
      <c r="C46" s="344"/>
      <c r="D46" s="344"/>
      <c r="E46" s="344"/>
      <c r="F46" s="344"/>
      <c r="G46" s="344"/>
      <c r="H46" s="344"/>
      <c r="I46" s="3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2000-06-01T23:10:27Z</dcterms:created>
  <dc:creator>libasco</dc:creator>
  <dc:description/>
  <dc:language>en-US</dc:language>
  <cp:lastModifiedBy>Jeffrey M. Bartlett</cp:lastModifiedBy>
  <cp:lastPrinted>2000-12-10T18:22:23Z</cp:lastPrinted>
  <cp:revision>0</cp:revision>
  <dc:subject/>
  <dc:title/>
</cp:coreProperties>
</file>