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comments30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2.xml.rels" ContentType="application/vnd.openxmlformats-package.relationships+xml"/>
  <Override PartName="/xl/worksheets/_rels/sheet14.xml.rels" ContentType="application/vnd.openxmlformats-package.relationships+xml"/>
  <Override PartName="/xl/worksheets/_rels/sheet30.xml.rels" ContentType="application/vnd.openxmlformats-package.relationships+xml"/>
  <Override PartName="/xl/worksheets/_rels/sheet19.xml.rels" ContentType="application/vnd.openxmlformats-package.relationships+xml"/>
  <Override PartName="/xl/worksheets/_rels/sheet1.xml.rels" ContentType="application/vnd.openxmlformats-package.relationships+xml"/>
  <Override PartName="/xl/worksheets/_rels/sheet21.xml.rels" ContentType="application/vnd.openxmlformats-package.relationships+xml"/>
  <Override PartName="/xl/worksheets/_rels/sheet28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comments28.xml" ContentType="application/vnd.openxmlformats-officedocument.spreadsheetml.comment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al Data Slide" sheetId="1" state="visible" r:id="rId3"/>
    <sheet name="Tax Basis" sheetId="2" state="visible" r:id="rId4"/>
    <sheet name="Sum of Parts-Slide" sheetId="3" state="visible" r:id="rId5"/>
    <sheet name="New Powerdat Asset info" sheetId="4" state="visible" r:id="rId6"/>
    <sheet name="Full BreakUp" sheetId="5" state="visible" r:id="rId7"/>
    <sheet name="Full BreakupTable-high" sheetId="6" state="visible" r:id="rId8"/>
    <sheet name="FullBreakupTable-low" sheetId="7" state="visible" r:id="rId9"/>
    <sheet name="Expected Transaction" sheetId="8" state="visible" r:id="rId10"/>
    <sheet name="Expected Table-high" sheetId="9" state="visible" r:id="rId11"/>
    <sheet name="Expected Table-low" sheetId="10" state="visible" r:id="rId12"/>
    <sheet name="Valuation Slide" sheetId="11" state="visible" r:id="rId13"/>
    <sheet name="Corp I-S&amp;B-S" sheetId="12" state="visible" r:id="rId14"/>
    <sheet name="Trading Comps" sheetId="13" state="visible" r:id="rId15"/>
    <sheet name="Issues-Slide" sheetId="14" state="visible" r:id="rId16"/>
    <sheet name="Remaining Assets" sheetId="15" state="visible" r:id="rId17"/>
    <sheet name="Asset Overview Slide" sheetId="16" state="visible" r:id="rId18"/>
    <sheet name="Corporate Comparable Trading" sheetId="17" state="visible" r:id="rId19"/>
    <sheet name="Corporate Compac Valuation" sheetId="18" state="visible" r:id="rId20"/>
    <sheet name="transaction comps Database" sheetId="19" state="visible" r:id="rId21"/>
    <sheet name="Segment Compco Valuation" sheetId="20" state="visible" r:id="rId22"/>
    <sheet name="Segment CompAc Comps" sheetId="21" state="visible" r:id="rId23"/>
    <sheet name="accretion-dilutionIQ" sheetId="22" state="visible" r:id="rId24"/>
    <sheet name="Net PPE" sheetId="23" state="visible" r:id="rId25"/>
    <sheet name="Comp Summary" sheetId="24" state="visible" r:id="rId26"/>
    <sheet name="Divestiture Comps" sheetId="25" state="visible" r:id="rId27"/>
    <sheet name="Consolidated" sheetId="26" state="hidden" r:id="rId28"/>
    <sheet name="Stock Data" sheetId="27" state="visible" r:id="rId29"/>
    <sheet name="Segment Fin Proj" sheetId="28" state="visible" r:id="rId30"/>
    <sheet name="management&amp;holdings" sheetId="29" state="visible" r:id="rId31"/>
    <sheet name="SSB Comps" sheetId="30" state="visible" r:id="rId32"/>
    <sheet name="DCF of Generation" sheetId="31" state="visible" r:id="rId33"/>
    <sheet name="Business Seg Slide" sheetId="32" state="visible" r:id="rId34"/>
  </sheets>
  <externalReferences>
    <externalReference r:id="rId35"/>
  </externalReferences>
  <definedNames>
    <definedName function="false" hidden="false" localSheetId="21" name="_xlnm.Print_Area" vbProcedure="false">'accretion-dilutionIQ'!$F$1:$O$36</definedName>
    <definedName function="false" hidden="false" localSheetId="15" name="_xlnm.Print_Area" vbProcedure="false">'Asset Overview Slide'!$A$1:$N$35</definedName>
    <definedName function="false" hidden="false" localSheetId="11" name="_xlnm.Print_Area" vbProcedure="false">'Corp I-S&amp;B-S'!$A$1:$N$88</definedName>
    <definedName function="false" hidden="false" localSheetId="16" name="_xlnm.Print_Area" vbProcedure="false">'Corporate Comparable Trading'!$A$1:$O$44</definedName>
    <definedName function="false" hidden="false" localSheetId="8" name="_xlnm.Print_Area" vbProcedure="false">'Expected Table-high'!$A$1:$J$45</definedName>
    <definedName function="false" hidden="false" localSheetId="9" name="_xlnm.Print_Area" vbProcedure="false">'Expected Table-low'!$A$1:$J$45</definedName>
    <definedName function="false" hidden="false" localSheetId="7" name="_xlnm.Print_Area" vbProcedure="false">'Expected Transaction'!$A$1:$O$68</definedName>
    <definedName function="false" hidden="false" localSheetId="0" name="_xlnm.Print_Area" vbProcedure="false">'Financial Data Slide'!$A$1:$L$29</definedName>
    <definedName function="false" hidden="false" localSheetId="4" name="_xlnm.Print_Area" vbProcedure="false">'Full BreakUp'!$A$1:$N$63</definedName>
    <definedName function="false" hidden="false" localSheetId="5" name="_xlnm.Print_Area" vbProcedure="false">'Full BreakupTable-high'!$A$1:$K$65</definedName>
    <definedName function="false" hidden="false" localSheetId="6" name="_xlnm.Print_Area" vbProcedure="false">'FullBreakupTable-low'!$A$1:$K$47</definedName>
    <definedName function="false" hidden="false" localSheetId="13" name="_xlnm.Print_Area" vbProcedure="false">'Issues-Slide'!$A$1:$N$20</definedName>
    <definedName function="false" hidden="false" localSheetId="3" name="_xlnm.Print_Area" vbProcedure="false">'New Powerdat Asset info'!$A$1:$AA$83</definedName>
    <definedName function="false" hidden="false" localSheetId="14" name="_xlnm.Print_Area" vbProcedure="false">'Remaining Assets'!$A$1:$K$22</definedName>
    <definedName function="false" hidden="false" localSheetId="19" name="_xlnm.Print_Area" vbProcedure="false">'Segment Compco Valuation'!$A$1:$S$31</definedName>
    <definedName function="false" hidden="false" localSheetId="27" name="_xlnm.Print_Area" vbProcedure="false">'Segment Fin Proj'!$A$1:$AW$201</definedName>
    <definedName function="false" hidden="false" localSheetId="27" name="_xlnm.Print_Titles" vbProcedure="false">'Segment Fin Proj'!$A:$E,'Segment Fin Proj'!$1:$6</definedName>
    <definedName function="false" hidden="false" localSheetId="2" name="_xlnm.Print_Area" vbProcedure="false">'Sum of Parts-Slide'!$A$1:$O$57</definedName>
    <definedName function="false" hidden="false" localSheetId="1" name="_xlnm.Print_Area" vbProcedure="false">'Tax Basis'!$1:$65536</definedName>
    <definedName function="false" hidden="false" localSheetId="12" name="_xlnm.Print_Area" vbProcedure="false">'Trading Comps'!$A$1:$AA$24</definedName>
    <definedName function="false" hidden="false" localSheetId="12" name="_xlnm.Print_Titles" vbProcedure="false">'Trading Comps'!$A:$A,'Trading Comps'!$1:$3</definedName>
    <definedName function="false" hidden="false" localSheetId="10" name="_xlnm.Print_Area" vbProcedure="false">'Valuation Slide'!$A$1:$K$36</definedName>
    <definedName function="false" hidden="false" localSheetId="2" name="Excel_BuiltIn_Print_Titles" vbProcedure="false">#REF!</definedName>
    <definedName function="false" hidden="false" localSheetId="15" name="Excel_BuiltIn_Print_Titles" vbProcedure="false">#REF!</definedName>
    <definedName function="false" hidden="false" localSheetId="26" name="TABLE" vbProcedure="false">'Stock Data'!$A$1:$A$105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56" authorId="0">
      <text>
        <r>
          <rPr>
            <b val="true"/>
            <sz val="8"/>
            <color rgb="FF000000"/>
            <rFont val="Tahoma"/>
            <family val="0"/>
          </rPr>
          <t xml:space="preserve">anovotn:
</t>
        </r>
        <r>
          <rPr>
            <sz val="8"/>
            <color rgb="FF000000"/>
            <rFont val="Tahoma"/>
            <family val="0"/>
          </rPr>
          <t xml:space="preserve">made up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17</xdr:colOff>
                <xdr:row>122</xdr:row>
                <xdr:rowOff>11</xdr:rowOff>
              </xdr:from>
              <xdr:to>
                <xdr:col>8</xdr:col>
                <xdr:colOff>53</xdr:colOff>
                <xdr:row>126</xdr:row>
                <xdr:rowOff>14</xdr:rowOff>
              </xdr:to>
            </anchor>
          </commentPr>
        </mc:Choice>
        <mc:Fallback/>
      </mc:AlternateContent>
    </comment>
  </commentList>
</comments>
</file>

<file path=xl/comments3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3" authorId="0">
      <text>
        <r>
          <rPr>
            <b val="true"/>
            <sz val="8"/>
            <color rgb="FF000000"/>
            <rFont val="Tahoma"/>
            <family val="0"/>
          </rPr>
          <t xml:space="preserve">rkelley:
</t>
        </r>
        <r>
          <rPr>
            <sz val="8"/>
            <color rgb="FF000000"/>
            <rFont val="Tahoma"/>
            <family val="0"/>
          </rPr>
          <t xml:space="preserve">All blue is Alok's numbers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41</xdr:row>
                <xdr:rowOff>7</xdr:rowOff>
              </xdr:from>
              <xdr:to>
                <xdr:col>6</xdr:col>
                <xdr:colOff>30</xdr:colOff>
                <xdr:row>45</xdr:row>
                <xdr:rowOff>13</xdr:rowOff>
              </xdr:to>
            </anchor>
          </commentPr>
        </mc:Choice>
        <mc:Fallback/>
      </mc:AlternateContent>
    </comment>
    <comment ref="E48" authorId="0">
      <text>
        <r>
          <rPr>
            <b val="true"/>
            <sz val="8"/>
            <color rgb="FF000000"/>
            <rFont val="Tahoma"/>
            <family val="0"/>
          </rPr>
          <t xml:space="preserve">rkelley:
</t>
        </r>
        <r>
          <rPr>
            <sz val="8"/>
            <color rgb="FF000000"/>
            <rFont val="Tahoma"/>
            <family val="0"/>
          </rPr>
          <t xml:space="preserve">Duetsche Bank Alex Brown 9/17/99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46</xdr:row>
                <xdr:rowOff>7</xdr:rowOff>
              </xdr:from>
              <xdr:to>
                <xdr:col>7</xdr:col>
                <xdr:colOff>19</xdr:colOff>
                <xdr:row>50</xdr:row>
                <xdr:rowOff>13</xdr:rowOff>
              </xdr:to>
            </anchor>
          </commentPr>
        </mc:Choice>
        <mc:Fallback/>
      </mc:AlternateContent>
    </comment>
    <comment ref="L45" authorId="0">
      <text>
        <r>
          <rPr>
            <b val="true"/>
            <sz val="8"/>
            <color rgb="FF000000"/>
            <rFont val="Tahoma"/>
            <family val="0"/>
          </rPr>
          <t xml:space="preserve">rkelley:
</t>
        </r>
        <r>
          <rPr>
            <sz val="8"/>
            <color rgb="FF000000"/>
            <rFont val="Tahoma"/>
            <family val="0"/>
          </rPr>
          <t xml:space="preserve">CSFB 2/25/00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43</xdr:row>
                <xdr:rowOff>7</xdr:rowOff>
              </xdr:from>
              <xdr:to>
                <xdr:col>13</xdr:col>
                <xdr:colOff>19</xdr:colOff>
                <xdr:row>47</xdr:row>
                <xdr:rowOff>13</xdr:rowOff>
              </xdr:to>
            </anchor>
          </commentPr>
        </mc:Choice>
        <mc:Fallback/>
      </mc:AlternateContent>
    </comment>
    <comment ref="L46" authorId="0">
      <text>
        <r>
          <rPr>
            <b val="true"/>
            <sz val="8"/>
            <color rgb="FF000000"/>
            <rFont val="Tahoma"/>
            <family val="0"/>
          </rPr>
          <t xml:space="preserve">rkelley:
</t>
        </r>
        <r>
          <rPr>
            <sz val="8"/>
            <color rgb="FF000000"/>
            <rFont val="Tahoma"/>
            <family val="0"/>
          </rPr>
          <t xml:space="preserve">CSFB 2/3/00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44</xdr:row>
                <xdr:rowOff>7</xdr:rowOff>
              </xdr:from>
              <xdr:to>
                <xdr:col>13</xdr:col>
                <xdr:colOff>19</xdr:colOff>
                <xdr:row>48</xdr:row>
                <xdr:rowOff>13</xdr:rowOff>
              </xdr:to>
            </anchor>
          </commentPr>
        </mc:Choice>
        <mc:Fallback/>
      </mc:AlternateContent>
    </comment>
    <comment ref="L47" authorId="0">
      <text>
        <r>
          <rPr>
            <b val="true"/>
            <sz val="8"/>
            <color rgb="FF000000"/>
            <rFont val="Tahoma"/>
            <family val="0"/>
          </rPr>
          <t xml:space="preserve">rkelley:
</t>
        </r>
        <r>
          <rPr>
            <sz val="8"/>
            <color rgb="FF000000"/>
            <rFont val="Tahoma"/>
            <family val="0"/>
          </rPr>
          <t xml:space="preserve">CSFB 3/8/00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45</xdr:row>
                <xdr:rowOff>7</xdr:rowOff>
              </xdr:from>
              <xdr:to>
                <xdr:col>13</xdr:col>
                <xdr:colOff>19</xdr:colOff>
                <xdr:row>49</xdr:row>
                <xdr:rowOff>13</xdr:rowOff>
              </xdr:to>
            </anchor>
          </commentPr>
        </mc:Choice>
        <mc:Fallback/>
      </mc:AlternateContent>
    </comment>
    <comment ref="L48" authorId="0">
      <text>
        <r>
          <rPr>
            <b val="true"/>
            <sz val="8"/>
            <color rgb="FF000000"/>
            <rFont val="Tahoma"/>
            <family val="0"/>
          </rPr>
          <t xml:space="preserve">rkelley:
</t>
        </r>
        <r>
          <rPr>
            <sz val="8"/>
            <color rgb="FF000000"/>
            <rFont val="Tahoma"/>
            <family val="0"/>
          </rPr>
          <t xml:space="preserve">Merrill Lynch 1/27/00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46</xdr:row>
                <xdr:rowOff>7</xdr:rowOff>
              </xdr:from>
              <xdr:to>
                <xdr:col>13</xdr:col>
                <xdr:colOff>19</xdr:colOff>
                <xdr:row>50</xdr:row>
                <xdr:rowOff>13</xdr:rowOff>
              </xdr:to>
            </anchor>
          </commentPr>
        </mc:Choice>
        <mc:Fallback/>
      </mc:AlternateContent>
    </comment>
    <comment ref="N43" authorId="0">
      <text>
        <r>
          <rPr>
            <b val="true"/>
            <sz val="8"/>
            <color rgb="FF000000"/>
            <rFont val="Tahoma"/>
            <family val="0"/>
          </rPr>
          <t xml:space="preserve">rkelley:
</t>
        </r>
        <r>
          <rPr>
            <sz val="8"/>
            <color rgb="FF000000"/>
            <rFont val="Tahoma"/>
            <family val="0"/>
          </rPr>
          <t xml:space="preserve">First union equity research 3/2/00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47</xdr:colOff>
                <xdr:row>41</xdr:row>
                <xdr:rowOff>7</xdr:rowOff>
              </xdr:from>
              <xdr:to>
                <xdr:col>14</xdr:col>
                <xdr:colOff>66</xdr:colOff>
                <xdr:row>45</xdr:row>
                <xdr:rowOff>13</xdr:rowOff>
              </xdr:to>
            </anchor>
          </commentPr>
        </mc:Choice>
        <mc:Fallback/>
      </mc:AlternateContent>
    </comment>
    <comment ref="N44" authorId="0">
      <text>
        <r>
          <rPr>
            <b val="true"/>
            <sz val="8"/>
            <color rgb="FF000000"/>
            <rFont val="Tahoma"/>
            <family val="0"/>
          </rPr>
          <t xml:space="preserve">rkelley:
</t>
        </r>
        <r>
          <rPr>
            <sz val="8"/>
            <color rgb="FF000000"/>
            <rFont val="Tahoma"/>
            <family val="0"/>
          </rPr>
          <t xml:space="preserve">CSFB 2/15/00 calced from income statement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47</xdr:colOff>
                <xdr:row>42</xdr:row>
                <xdr:rowOff>7</xdr:rowOff>
              </xdr:from>
              <xdr:to>
                <xdr:col>15</xdr:col>
                <xdr:colOff>0</xdr:colOff>
                <xdr:row>46</xdr:row>
                <xdr:rowOff>13</xdr:rowOff>
              </xdr:to>
            </anchor>
          </commentPr>
        </mc:Choice>
        <mc:Fallback/>
      </mc:AlternateContent>
    </comment>
    <comment ref="V43" authorId="0">
      <text>
        <r>
          <rPr>
            <b val="true"/>
            <sz val="8"/>
            <color rgb="FF000000"/>
            <rFont val="Tahoma"/>
            <family val="0"/>
          </rPr>
          <t xml:space="preserve">rkelley:
</t>
        </r>
        <r>
          <rPr>
            <sz val="8"/>
            <color rgb="FF000000"/>
            <rFont val="Tahoma"/>
            <family val="0"/>
          </rPr>
          <t xml:space="preserve">First Union research 1/25/00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44</xdr:colOff>
                <xdr:row>41</xdr:row>
                <xdr:rowOff>7</xdr:rowOff>
              </xdr:from>
              <xdr:to>
                <xdr:col>22</xdr:col>
                <xdr:colOff>44</xdr:colOff>
                <xdr:row>45</xdr:row>
                <xdr:rowOff>13</xdr:rowOff>
              </xdr:to>
            </anchor>
          </commentPr>
        </mc:Choice>
        <mc:Fallback/>
      </mc:AlternateContent>
    </comment>
    <comment ref="W48" authorId="0">
      <text>
        <r>
          <rPr>
            <b val="true"/>
            <sz val="8"/>
            <color rgb="FF000000"/>
            <rFont val="Tahoma"/>
            <family val="0"/>
          </rPr>
          <t xml:space="preserve">Jeffrey M. Bartlett:
</t>
        </r>
        <r>
          <rPr>
            <sz val="8"/>
            <color rgb="FF000000"/>
            <rFont val="Tahoma"/>
            <family val="0"/>
          </rPr>
          <t xml:space="preserve">source:  Deutsche Banc Alex Brown - 9/17/00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44</xdr:colOff>
                <xdr:row>46</xdr:row>
                <xdr:rowOff>7</xdr:rowOff>
              </xdr:from>
              <xdr:to>
                <xdr:col>23</xdr:col>
                <xdr:colOff>44</xdr:colOff>
                <xdr:row>50</xdr:row>
                <xdr:rowOff>13</xdr:rowOff>
              </xdr:to>
            </anchor>
          </commentPr>
        </mc:Choice>
        <mc:Fallback/>
      </mc:AlternateContent>
    </comment>
    <comment ref="Y48" authorId="0">
      <text>
        <r>
          <rPr>
            <b val="true"/>
            <sz val="8"/>
            <color rgb="FF000000"/>
            <rFont val="Tahoma"/>
            <family val="0"/>
          </rPr>
          <t xml:space="preserve">Jeffrey M. Bartlett:
</t>
        </r>
        <r>
          <rPr>
            <sz val="8"/>
            <color rgb="FF000000"/>
            <rFont val="Tahoma"/>
            <family val="0"/>
          </rPr>
          <t xml:space="preserve">Source:  Deutsche Banc  Alex Brown - 9/17/99.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44</xdr:colOff>
                <xdr:row>46</xdr:row>
                <xdr:rowOff>7</xdr:rowOff>
              </xdr:from>
              <xdr:to>
                <xdr:col>25</xdr:col>
                <xdr:colOff>44</xdr:colOff>
                <xdr:row>50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<sst xmlns="http://schemas.openxmlformats.org/spreadsheetml/2006/main" count="2481" uniqueCount="965">
  <si>
    <t xml:space="preserve">SUMMARY FINANCIAL DATA</t>
  </si>
  <si>
    <t xml:space="preserve">Top 10 Institutional Holders</t>
  </si>
  <si>
    <t xml:space="preserve">MANAGEMENT TEAM</t>
  </si>
  <si>
    <t xml:space="preserve">POSITION</t>
  </si>
  <si>
    <t xml:space="preserve">Shares</t>
  </si>
  <si>
    <t xml:space="preserve">%</t>
  </si>
  <si>
    <t xml:space="preserve">Value</t>
  </si>
  <si>
    <t xml:space="preserve">Jackson H. Randolph</t>
  </si>
  <si>
    <t xml:space="preserve">Chairman</t>
  </si>
  <si>
    <t xml:space="preserve"> (mm)</t>
  </si>
  <si>
    <t xml:space="preserve">Total</t>
  </si>
  <si>
    <t xml:space="preserve"> ($mm)</t>
  </si>
  <si>
    <t xml:space="preserve">James E. Rogers</t>
  </si>
  <si>
    <t xml:space="preserve">VC, President, and CEO </t>
  </si>
  <si>
    <t xml:space="preserve">United States Trust Co of NY</t>
  </si>
  <si>
    <t xml:space="preserve">John Bryant</t>
  </si>
  <si>
    <t xml:space="preserve">VP; Managing Director, Cinergy Global Power Services</t>
  </si>
  <si>
    <t xml:space="preserve">Scudder Kemper Invts, Inc. </t>
  </si>
  <si>
    <t xml:space="preserve">Michael J. Cyrus</t>
  </si>
  <si>
    <t xml:space="preserve">VP; COO, Energy Commodities Business Unit </t>
  </si>
  <si>
    <t xml:space="preserve">Sanford C.Bernstein (Asset Mg) </t>
  </si>
  <si>
    <t xml:space="preserve">Cheryl M.Foley</t>
  </si>
  <si>
    <t xml:space="preserve">VP, Secretary, and General Counsel; President, International Business Unit </t>
  </si>
  <si>
    <t xml:space="preserve">Franklin Resources, Inc.</t>
  </si>
  <si>
    <t xml:space="preserve">William J. Grealis</t>
  </si>
  <si>
    <t xml:space="preserve">VP Corporate Services and Chief Strategic Officer; President, Cinergy Investments</t>
  </si>
  <si>
    <t xml:space="preserve">Barclays Bank Plc</t>
  </si>
  <si>
    <t xml:space="preserve">J. Joseph Hale Jr.</t>
  </si>
  <si>
    <t xml:space="preserve">VP Corporate Communications; President, Cinergy Foundation</t>
  </si>
  <si>
    <t xml:space="preserve">Wellington Management Co</t>
  </si>
  <si>
    <t xml:space="preserve">M. Stephen Harkness</t>
  </si>
  <si>
    <t xml:space="preserve">VP; EVP and COO, Trigen-Cinergy Solutions</t>
  </si>
  <si>
    <t xml:space="preserve">Capital Research &amp; Mgmt Co</t>
  </si>
  <si>
    <t xml:space="preserve">Donald B. Ingle Jr.</t>
  </si>
  <si>
    <t xml:space="preserve">VP; President, Energy Services Business Unit </t>
  </si>
  <si>
    <t xml:space="preserve">Prudential Insurance Co of America</t>
  </si>
  <si>
    <t xml:space="preserve">Jerry W. Liggett</t>
  </si>
  <si>
    <t xml:space="preserve">VP Human Resources Strategy </t>
  </si>
  <si>
    <t xml:space="preserve">First Union Corporation</t>
  </si>
  <si>
    <t xml:space="preserve">Madeleine W. Ludlow</t>
  </si>
  <si>
    <t xml:space="preserve">Merrill Lynch Asset Mgmt Inc</t>
  </si>
  <si>
    <t xml:space="preserve"> William L. Sheafer</t>
  </si>
  <si>
    <t xml:space="preserve">VP and Treasurer</t>
  </si>
  <si>
    <t xml:space="preserve">John P. Steffen</t>
  </si>
  <si>
    <t xml:space="preserve">VP and Controller </t>
  </si>
  <si>
    <t xml:space="preserve">Larry E. Thomas</t>
  </si>
  <si>
    <t xml:space="preserve">VP; President, Energy Delivery Business Unit </t>
  </si>
  <si>
    <t xml:space="preserve">Income Statement Data</t>
  </si>
  <si>
    <t xml:space="preserve">Market Data</t>
  </si>
  <si>
    <t xml:space="preserve">Charles J. Winger</t>
  </si>
  <si>
    <t xml:space="preserve">VP and CFO</t>
  </si>
  <si>
    <t xml:space="preserve">James L. Turner</t>
  </si>
  <si>
    <t xml:space="preserve">President, Cincinnati Gas &amp; Electric</t>
  </si>
  <si>
    <t xml:space="preserve">(In millions)</t>
  </si>
  <si>
    <t xml:space="preserve">2000E*</t>
  </si>
  <si>
    <t xml:space="preserve">Current Stock Price (as of 3/15/00)</t>
  </si>
  <si>
    <t xml:space="preserve">Vicki A. Bailey</t>
  </si>
  <si>
    <t xml:space="preserve">President, PSI Energy </t>
  </si>
  <si>
    <t xml:space="preserve">Revenues</t>
  </si>
  <si>
    <t xml:space="preserve">LTM Low-High Stock Price</t>
  </si>
  <si>
    <t xml:space="preserve">$20.50/$34.63</t>
  </si>
  <si>
    <t xml:space="preserve">EBITDA</t>
  </si>
  <si>
    <t xml:space="preserve">Book Value Per Share</t>
  </si>
  <si>
    <t xml:space="preserve">EBIT</t>
  </si>
  <si>
    <t xml:space="preserve">Projected 5 year EPS CAGR</t>
  </si>
  <si>
    <t xml:space="preserve">Interest Expense</t>
  </si>
  <si>
    <t xml:space="preserve">Dividend Yield</t>
  </si>
  <si>
    <t xml:space="preserve">Net Income</t>
  </si>
  <si>
    <t xml:space="preserve">Equity Market Value</t>
  </si>
  <si>
    <t xml:space="preserve">Shares Outstanding (Basic)</t>
  </si>
  <si>
    <t xml:space="preserve">Net Debt and Preferred</t>
  </si>
  <si>
    <t xml:space="preserve">Shares Outstanding (Fully Diluted)</t>
  </si>
  <si>
    <t xml:space="preserve">2000E EPS Multiple</t>
  </si>
  <si>
    <t xml:space="preserve">Basic EPS</t>
  </si>
  <si>
    <t xml:space="preserve">2000E EBITDA Multiple</t>
  </si>
  <si>
    <t xml:space="preserve">Diluted EPS</t>
  </si>
  <si>
    <t xml:space="preserve">Estimated Tax Basis</t>
  </si>
  <si>
    <t xml:space="preserve">All units</t>
  </si>
  <si>
    <t xml:space="preserve">Total CG&amp;E</t>
  </si>
  <si>
    <t xml:space="preserve">CGE Generation (1)</t>
  </si>
  <si>
    <t xml:space="preserve">CG&amp;E Electric TD</t>
  </si>
  <si>
    <t xml:space="preserve">CG&amp;E Gas LDC</t>
  </si>
  <si>
    <t xml:space="preserve">Total PSI</t>
  </si>
  <si>
    <t xml:space="preserve">Generation PSI (1)</t>
  </si>
  <si>
    <t xml:space="preserve">PSI Electric TD</t>
  </si>
  <si>
    <t xml:space="preserve">Total Generation</t>
  </si>
  <si>
    <t xml:space="preserve">BaseLoad</t>
  </si>
  <si>
    <t xml:space="preserve">Peaking</t>
  </si>
  <si>
    <t xml:space="preserve">Deferred Taxes Relating to PP&amp;E</t>
  </si>
  <si>
    <t xml:space="preserve">Effective Tax Rate</t>
  </si>
  <si>
    <t xml:space="preserve">Tax vs. Book Difference</t>
  </si>
  <si>
    <t xml:space="preserve">Net Book PP&amp;E</t>
  </si>
  <si>
    <t xml:space="preserve">Total Book PPE</t>
  </si>
  <si>
    <t xml:space="preserve">Total Depreciation</t>
  </si>
  <si>
    <t xml:space="preserve">TRANSMISSION AND DISTRIBUTION</t>
  </si>
  <si>
    <t xml:space="preserve">* GAS VALUES ARE FROM 1997</t>
  </si>
  <si>
    <t xml:space="preserve">TOTAL PLANT INSERVICE</t>
  </si>
  <si>
    <t xml:space="preserve">TRANSMISSION</t>
  </si>
  <si>
    <t xml:space="preserve">DISTRIBUTION</t>
  </si>
  <si>
    <t xml:space="preserve">T&amp;D</t>
  </si>
  <si>
    <t xml:space="preserve">CGE</t>
  </si>
  <si>
    <t xml:space="preserve">ELECTRIC</t>
  </si>
  <si>
    <t xml:space="preserve">GAS</t>
  </si>
  <si>
    <t xml:space="preserve">PSI</t>
  </si>
  <si>
    <t xml:space="preserve">DEPRECIATION</t>
  </si>
  <si>
    <t xml:space="preserve">NET </t>
  </si>
  <si>
    <t xml:space="preserve">*Information from Powerdat</t>
  </si>
  <si>
    <t xml:space="preserve">TOTAL PPE*</t>
  </si>
  <si>
    <t xml:space="preserve">INSERVICE:</t>
  </si>
  <si>
    <t xml:space="preserve">NET PPE</t>
  </si>
  <si>
    <t xml:space="preserve">TOTAL</t>
  </si>
  <si>
    <t xml:space="preserve">Total Assets</t>
  </si>
  <si>
    <t xml:space="preserve">CG&amp;E</t>
  </si>
  <si>
    <t xml:space="preserve">w/ Common</t>
  </si>
  <si>
    <t xml:space="preserve">Common allocated</t>
  </si>
  <si>
    <t xml:space="preserve">     Electric</t>
  </si>
  <si>
    <t xml:space="preserve">     Gas</t>
  </si>
  <si>
    <t xml:space="preserve">     Common (E&amp;G)</t>
  </si>
  <si>
    <t xml:space="preserve">    Less:  Accum Depr.</t>
  </si>
  <si>
    <t xml:space="preserve">        Net PP&amp;E</t>
  </si>
  <si>
    <t xml:space="preserve">TOTAL Cinergy Corp.</t>
  </si>
  <si>
    <t xml:space="preserve">SEGMENT ASSET VALUATION</t>
  </si>
  <si>
    <t xml:space="preserve">($'s in millions)</t>
  </si>
  <si>
    <t xml:space="preserve">Comparable Transaction Analysis</t>
  </si>
  <si>
    <t xml:space="preserve">Selected Enterprise</t>
  </si>
  <si>
    <t xml:space="preserve">($mm unless otherwise noted)</t>
  </si>
  <si>
    <t xml:space="preserve">Variable</t>
  </si>
  <si>
    <t xml:space="preserve">Multiple Range</t>
  </si>
  <si>
    <t xml:space="preserve">Enterprise Value Range</t>
  </si>
  <si>
    <t xml:space="preserve">Value Range</t>
  </si>
  <si>
    <t xml:space="preserve">PSI (entire Electric Utility)</t>
  </si>
  <si>
    <t xml:space="preserve">  Net PP&amp;E ($mm)</t>
  </si>
  <si>
    <t xml:space="preserve">--</t>
  </si>
  <si>
    <r>
      <rPr>
        <sz val="10"/>
        <rFont val="Times New Roman"/>
        <family val="1"/>
      </rPr>
      <t xml:space="preserve">  Equity Book Value</t>
    </r>
    <r>
      <rPr>
        <vertAlign val="superscript"/>
        <sz val="10"/>
        <rFont val="Times New Roman"/>
        <family val="1"/>
      </rPr>
      <t xml:space="preserve">(1)</t>
    </r>
  </si>
  <si>
    <t xml:space="preserve">  Net Income</t>
  </si>
  <si>
    <t xml:space="preserve">  1998 EBITDA</t>
  </si>
  <si>
    <t xml:space="preserve">CG&amp;E - Entire Electric Utility</t>
  </si>
  <si>
    <t xml:space="preserve">12/31/99 net PP&amp;E</t>
  </si>
  <si>
    <t xml:space="preserve">Implied Net PP&amp;E for T&amp;D assets (as of 12/31/99)</t>
  </si>
  <si>
    <t xml:space="preserve">CG&amp;E - Segment Value</t>
  </si>
  <si>
    <t xml:space="preserve">12/31/99 net PP&amp;E for T&amp;D assets only</t>
  </si>
  <si>
    <t xml:space="preserve">CGE (Gas Utility)</t>
  </si>
  <si>
    <t xml:space="preserve">12/31/99 net PP&amp;E (entire subsidiary)</t>
  </si>
  <si>
    <t xml:space="preserve">  2000E EBITDA ($mm)</t>
  </si>
  <si>
    <t xml:space="preserve">CG&amp;E (Electric T&amp;D)</t>
  </si>
  <si>
    <r>
      <rPr>
        <sz val="10"/>
        <rFont val="Times New Roman"/>
        <family val="1"/>
      </rPr>
      <t xml:space="preserve">  Net PP&amp;E</t>
    </r>
    <r>
      <rPr>
        <vertAlign val="superscript"/>
        <sz val="10"/>
        <rFont val="Times New Roman"/>
        <family val="1"/>
      </rPr>
      <t xml:space="preserve">(1)</t>
    </r>
  </si>
  <si>
    <t xml:space="preserve">CG&amp;E (Electric Generation Capacity)</t>
  </si>
  <si>
    <t xml:space="preserve">Base Load:</t>
  </si>
  <si>
    <t xml:space="preserve">Coal (MW)</t>
  </si>
  <si>
    <t xml:space="preserve">Hydro (MW)</t>
  </si>
  <si>
    <t xml:space="preserve">   Total (MW)</t>
  </si>
  <si>
    <t xml:space="preserve">Peaking/Intermediate Generation :</t>
  </si>
  <si>
    <t xml:space="preserve">Oil/Gas (MW)</t>
  </si>
  <si>
    <t xml:space="preserve">Other (MW)</t>
  </si>
  <si>
    <t xml:space="preserve">Selected Total CG&amp;E - Segment Value</t>
  </si>
  <si>
    <t xml:space="preserve">Selected CG&amp;E Enterprise Value</t>
  </si>
  <si>
    <t xml:space="preserve">Total Enterprise Value</t>
  </si>
  <si>
    <t xml:space="preserve">Less:   Net Debt</t>
  </si>
  <si>
    <t xml:space="preserve">(3)</t>
  </si>
  <si>
    <t xml:space="preserve">Equity Value Range</t>
  </si>
  <si>
    <t xml:space="preserve">Shares outstanding</t>
  </si>
  <si>
    <t xml:space="preserve">Implied price</t>
  </si>
  <si>
    <t xml:space="preserve">Current price</t>
  </si>
  <si>
    <t xml:space="preserve">Valuation Premium/(Discount)</t>
  </si>
  <si>
    <t xml:space="preserve">(1) Source: SEC form 10-K dated December 31, 1999.</t>
  </si>
  <si>
    <t xml:space="preserve">(2) Source: 10-K and 10-Q</t>
  </si>
  <si>
    <t xml:space="preserve">(3) As of December 31, 1999.   Includes preferred stock.</t>
  </si>
  <si>
    <t xml:space="preserve">Regulated Assets</t>
  </si>
  <si>
    <t xml:space="preserve">Operator Name</t>
  </si>
  <si>
    <t xml:space="preserve">Owner Name</t>
  </si>
  <si>
    <t xml:space="preserve">Plant Name</t>
  </si>
  <si>
    <t xml:space="preserve">Plant State</t>
  </si>
  <si>
    <t xml:space="preserve"> NERC Region</t>
  </si>
  <si>
    <t xml:space="preserve">Primary Fuel Type</t>
  </si>
  <si>
    <r>
      <rPr>
        <b val="true"/>
        <u val="single"/>
        <sz val="10"/>
        <rFont val="Times New Roman"/>
        <family val="1"/>
      </rPr>
      <t xml:space="preserve">Service Type </t>
    </r>
    <r>
      <rPr>
        <b val="true"/>
        <vertAlign val="superscript"/>
        <sz val="8"/>
        <rFont val="Times New Roman"/>
        <family val="1"/>
      </rPr>
      <t xml:space="preserve">(3)</t>
    </r>
  </si>
  <si>
    <t xml:space="preserve"> Year in Service</t>
  </si>
  <si>
    <t xml:space="preserve">Summer  MW</t>
  </si>
  <si>
    <t xml:space="preserve">Winter MW</t>
  </si>
  <si>
    <t xml:space="preserve">Net MW</t>
  </si>
  <si>
    <t xml:space="preserve">Net Capacity Factor %</t>
  </si>
  <si>
    <t xml:space="preserve">Utility/Non-Utility</t>
  </si>
  <si>
    <t xml:space="preserve">QF #</t>
  </si>
  <si>
    <t xml:space="preserve">Heat Rate Btu/kWh</t>
  </si>
  <si>
    <t xml:space="preserve">Fuel Price  $/MWh</t>
  </si>
  <si>
    <t xml:space="preserve">Non-fuel Var O&amp;M Cost $/MWh</t>
  </si>
  <si>
    <t xml:space="preserve">Prime Mover </t>
  </si>
  <si>
    <t xml:space="preserve">Coal</t>
  </si>
  <si>
    <t xml:space="preserve">Cincinnati Gas &amp; Electric Co.</t>
  </si>
  <si>
    <t xml:space="preserve">Beckjord</t>
  </si>
  <si>
    <t xml:space="preserve">OH</t>
  </si>
  <si>
    <t xml:space="preserve">ECAR</t>
  </si>
  <si>
    <t xml:space="preserve">COAL</t>
  </si>
  <si>
    <t xml:space="preserve">Baseload</t>
  </si>
  <si>
    <t xml:space="preserve">U</t>
  </si>
  <si>
    <t xml:space="preserve">Steam Turbine Boiler</t>
  </si>
  <si>
    <t xml:space="preserve">Cycling</t>
  </si>
  <si>
    <t xml:space="preserve">PSI Energy, Inc.</t>
  </si>
  <si>
    <t xml:space="preserve">Cayuga</t>
  </si>
  <si>
    <t xml:space="preserve">IN</t>
  </si>
  <si>
    <t xml:space="preserve">Columbus Southern Power Co.</t>
  </si>
  <si>
    <t xml:space="preserve">Conesville</t>
  </si>
  <si>
    <t xml:space="preserve">East Bend</t>
  </si>
  <si>
    <t xml:space="preserve">KY</t>
  </si>
  <si>
    <t xml:space="preserve">Edwardsport</t>
  </si>
  <si>
    <t xml:space="preserve">Gallagher</t>
  </si>
  <si>
    <t xml:space="preserve">Gibson</t>
  </si>
  <si>
    <t xml:space="preserve">Dayton Power &amp; Light Co.</t>
  </si>
  <si>
    <t xml:space="preserve">Killen</t>
  </si>
  <si>
    <t xml:space="preserve">Miami Fort</t>
  </si>
  <si>
    <t xml:space="preserve">Noblesville</t>
  </si>
  <si>
    <t xml:space="preserve">Stuart</t>
  </si>
  <si>
    <t xml:space="preserve">W.H. Zimmer</t>
  </si>
  <si>
    <t xml:space="preserve">Wabash River</t>
  </si>
  <si>
    <t xml:space="preserve">Sub Total</t>
  </si>
  <si>
    <t xml:space="preserve">Gas/Oil</t>
  </si>
  <si>
    <t xml:space="preserve">Combustion Gas Turbine</t>
  </si>
  <si>
    <t xml:space="preserve">Dicks Creek</t>
  </si>
  <si>
    <t xml:space="preserve">Jet Engine</t>
  </si>
  <si>
    <t xml:space="preserve">N/A</t>
  </si>
  <si>
    <t xml:space="preserve">Combined Cycle</t>
  </si>
  <si>
    <t xml:space="preserve">Woodsdale</t>
  </si>
  <si>
    <t xml:space="preserve">OIL-L</t>
  </si>
  <si>
    <t xml:space="preserve">Internal Combustion</t>
  </si>
  <si>
    <t xml:space="preserve">Connersville</t>
  </si>
  <si>
    <t xml:space="preserve">Miami Wabash</t>
  </si>
  <si>
    <t xml:space="preserve">Hydro</t>
  </si>
  <si>
    <t xml:space="preserve">Markland</t>
  </si>
  <si>
    <t xml:space="preserve">WATER</t>
  </si>
  <si>
    <t xml:space="preserve">Hydraulic Turbine Conventional</t>
  </si>
  <si>
    <t xml:space="preserve">Grand Total</t>
  </si>
  <si>
    <t xml:space="preserve">Net Demonstrated Capacity = Max(Net Summer MW, Net Winter MW)</t>
  </si>
  <si>
    <t xml:space="preserve">Source: RDI Base Case</t>
  </si>
  <si>
    <t xml:space="preserve">As reported in form EIA 861</t>
  </si>
  <si>
    <t xml:space="preserve">Non-Utility Generation - PSI</t>
  </si>
  <si>
    <t xml:space="preserve">OTHER</t>
  </si>
  <si>
    <t xml:space="preserve">N</t>
  </si>
  <si>
    <t xml:space="preserve">Cinergy Capital &amp; Trading, Inc.</t>
  </si>
  <si>
    <t xml:space="preserve">Henry</t>
  </si>
  <si>
    <t xml:space="preserve">Retained Assets</t>
  </si>
  <si>
    <t xml:space="preserve">Valuation $/kW</t>
  </si>
  <si>
    <t xml:space="preserve">Valuation $MM</t>
  </si>
  <si>
    <t xml:space="preserve">-</t>
  </si>
  <si>
    <t xml:space="preserve">FULL BREAK UP ANALYSIS</t>
  </si>
  <si>
    <t xml:space="preserve">Transaction Steps</t>
  </si>
  <si>
    <t xml:space="preserve">Acquire Cinergy</t>
  </si>
  <si>
    <t xml:space="preserve">Sell PSI (entire Utility)</t>
  </si>
  <si>
    <t xml:space="preserve">Sell CG&amp;E Gas (LDC)</t>
  </si>
  <si>
    <t xml:space="preserve">Sell  CG&amp;E Electric T&amp;D Assets</t>
  </si>
  <si>
    <t xml:space="preserve">Sell CG&amp;E Peaking and Mid-merit Generation Assets</t>
  </si>
  <si>
    <t xml:space="preserve">Sell Stock of Cinergy (with baseload generation assets)</t>
  </si>
  <si>
    <t xml:space="preserve">Stock Purchase</t>
  </si>
  <si>
    <t xml:space="preserve">Current Share Price</t>
  </si>
  <si>
    <t xml:space="preserve">Acquisition Premium</t>
  </si>
  <si>
    <t xml:space="preserve">Acquisition Cost per share</t>
  </si>
  <si>
    <t xml:space="preserve">Shares Outstanding</t>
  </si>
  <si>
    <t xml:space="preserve">Acquisition Cost</t>
  </si>
  <si>
    <t xml:space="preserve">2 Year Historical Average Price</t>
  </si>
  <si>
    <t xml:space="preserve">A/T Value To Shareholders</t>
  </si>
  <si>
    <t xml:space="preserve">Debt Associated (1)</t>
  </si>
  <si>
    <t xml:space="preserve">Enterprise Value</t>
  </si>
  <si>
    <t xml:space="preserve">MIN</t>
  </si>
  <si>
    <t xml:space="preserve">MAX</t>
  </si>
  <si>
    <t xml:space="preserve">Assumptions</t>
  </si>
  <si>
    <t xml:space="preserve">Minimum value of 1.1 times Net PP&amp;E </t>
  </si>
  <si>
    <t xml:space="preserve">Stock Sale</t>
  </si>
  <si>
    <t xml:space="preserve">Asset Tax Basis (2)</t>
  </si>
  <si>
    <t xml:space="preserve">Maximum of 1.2 times Net PP&amp;E</t>
  </si>
  <si>
    <t xml:space="preserve">338 (h)(10) election</t>
  </si>
  <si>
    <t xml:space="preserve">Tax Gain</t>
  </si>
  <si>
    <t xml:space="preserve">Taxes Due</t>
  </si>
  <si>
    <t xml:space="preserve">A/T Proceeds To ENE</t>
  </si>
  <si>
    <t xml:space="preserve">Minimum Value based on Average of 9X EBITDA &amp; 19X NI</t>
  </si>
  <si>
    <t xml:space="preserve">Maximum vaule based on average of 10X EBITDA &amp; 20 times NI</t>
  </si>
  <si>
    <t xml:space="preserve">Asset Sale</t>
  </si>
  <si>
    <t xml:space="preserve">Minimum value of $600/MW for coal and $150/MW for oil/gas</t>
  </si>
  <si>
    <t xml:space="preserve">Stock Tax Basis (3)</t>
  </si>
  <si>
    <t xml:space="preserve">Maximum value of $800/MW for coal and $250/MW for oil/gas</t>
  </si>
  <si>
    <t xml:space="preserve">Stock Sale (Cinergy Corp.)</t>
  </si>
  <si>
    <t xml:space="preserve">TOTAL Enterprise Value of Sales</t>
  </si>
  <si>
    <t xml:space="preserve">Transaction costs</t>
  </si>
  <si>
    <t xml:space="preserve">Financial Advisor and Legal Fees</t>
  </si>
  <si>
    <t xml:space="preserve">Total Tax Paid by ENE</t>
  </si>
  <si>
    <t xml:space="preserve">Net Gain (Loss) to ENE</t>
  </si>
  <si>
    <t xml:space="preserve">Notes:</t>
  </si>
  <si>
    <t xml:space="preserve">Debt is allocated on the basis of enterprise value of a segment</t>
  </si>
  <si>
    <t xml:space="preserve">Based on deferred tax data from 10K allocated on the basis of PP&amp;E data from 10K and Powerdat.</t>
  </si>
  <si>
    <t xml:space="preserve">Assumes original Cinergy acquisition is taxable to existing shareholders, providing new shareholders with tax basis equal to the price paid for CIN equity.</t>
  </si>
  <si>
    <t xml:space="preserve">Comparison of Multiples for Full Breakup Valuation</t>
  </si>
  <si>
    <t xml:space="preserve">High</t>
  </si>
  <si>
    <t xml:space="preserve">(US$ in millions)</t>
  </si>
  <si>
    <t xml:space="preserve">B. Sell</t>
  </si>
  <si>
    <t xml:space="preserve">E. Sell CG&amp;E</t>
  </si>
  <si>
    <t xml:space="preserve">F. Sell Stock of</t>
  </si>
  <si>
    <t xml:space="preserve">A. Acquire Cinergy</t>
  </si>
  <si>
    <t xml:space="preserve">PSI Energy</t>
  </si>
  <si>
    <t xml:space="preserve">C. Sell CG&amp;E</t>
  </si>
  <si>
    <t xml:space="preserve">D. Sell CG&amp;E</t>
  </si>
  <si>
    <t xml:space="preserve">Peaking/Mid-mert</t>
  </si>
  <si>
    <t xml:space="preserve">Cinergy (with CG&amp;E</t>
  </si>
  <si>
    <t xml:space="preserve">Net Value</t>
  </si>
  <si>
    <t xml:space="preserve">Criteria</t>
  </si>
  <si>
    <t xml:space="preserve">Enterprise Val.</t>
  </si>
  <si>
    <t xml:space="preserve">Utility</t>
  </si>
  <si>
    <t xml:space="preserve">Gas (LDC)</t>
  </si>
  <si>
    <t xml:space="preserve">T&amp;D Assets</t>
  </si>
  <si>
    <t xml:space="preserve">Generation Assets</t>
  </si>
  <si>
    <t xml:space="preserve">baseload assets)</t>
  </si>
  <si>
    <t xml:space="preserve">to ENE</t>
  </si>
  <si>
    <t xml:space="preserve">Stock Price @</t>
  </si>
  <si>
    <t xml:space="preserve">Acquisition Price</t>
  </si>
  <si>
    <t xml:space="preserve">Shares Outstanding (mm)</t>
  </si>
  <si>
    <t xml:space="preserve">Equity Value</t>
  </si>
  <si>
    <r>
      <rPr>
        <sz val="10"/>
        <rFont val="Times New Roman"/>
        <family val="0"/>
      </rPr>
      <t xml:space="preserve">Net Debt </t>
    </r>
    <r>
      <rPr>
        <vertAlign val="superscript"/>
        <sz val="10"/>
        <rFont val="Times New Roman"/>
        <family val="1"/>
      </rPr>
      <t xml:space="preserve">(1)</t>
    </r>
  </si>
  <si>
    <r>
      <rPr>
        <sz val="10"/>
        <rFont val="Times New Roman"/>
        <family val="0"/>
      </rPr>
      <t xml:space="preserve">Less Tax Basis</t>
    </r>
    <r>
      <rPr>
        <vertAlign val="superscript"/>
        <sz val="10"/>
        <rFont val="Times New Roman"/>
        <family val="1"/>
      </rPr>
      <t xml:space="preserve">(2)</t>
    </r>
  </si>
  <si>
    <r>
      <rPr>
        <sz val="10"/>
        <rFont val="Times New Roman"/>
        <family val="0"/>
      </rPr>
      <t xml:space="preserve">Tax Gain (Loss)</t>
    </r>
    <r>
      <rPr>
        <vertAlign val="superscript"/>
        <sz val="10"/>
        <rFont val="Times New Roman"/>
        <family val="1"/>
      </rPr>
      <t xml:space="preserve">(3)</t>
    </r>
  </si>
  <si>
    <t xml:space="preserve">Cash Taxes Paid</t>
  </si>
  <si>
    <t xml:space="preserve">Net Proceeds</t>
  </si>
  <si>
    <r>
      <rPr>
        <b val="true"/>
        <u val="single"/>
        <sz val="10"/>
        <rFont val="Times New Roman"/>
        <family val="1"/>
      </rPr>
      <t xml:space="preserve">Financial Information</t>
    </r>
    <r>
      <rPr>
        <b val="true"/>
        <u val="single"/>
        <vertAlign val="superscript"/>
        <sz val="10"/>
        <rFont val="Times New Roman"/>
        <family val="1"/>
      </rPr>
      <t xml:space="preserve">(4)(5)</t>
    </r>
  </si>
  <si>
    <t xml:space="preserve">2000 Net Profits</t>
  </si>
  <si>
    <t xml:space="preserve">2000 EBITDA</t>
  </si>
  <si>
    <t xml:space="preserve">Book Equity  </t>
  </si>
  <si>
    <r>
      <rPr>
        <sz val="10"/>
        <rFont val="Times New Roman"/>
        <family val="1"/>
      </rPr>
      <t xml:space="preserve">Net PP&amp;E </t>
    </r>
    <r>
      <rPr>
        <vertAlign val="superscript"/>
        <sz val="10"/>
        <rFont val="Times New Roman"/>
        <family val="1"/>
      </rPr>
      <t xml:space="preserve">(6)</t>
    </r>
  </si>
  <si>
    <r>
      <rPr>
        <sz val="10"/>
        <rFont val="Times New Roman"/>
        <family val="1"/>
      </rPr>
      <t xml:space="preserve">Megawatts of Generation </t>
    </r>
    <r>
      <rPr>
        <vertAlign val="superscript"/>
        <sz val="10"/>
        <rFont val="Times New Roman"/>
        <family val="1"/>
      </rPr>
      <t xml:space="preserve">(7)</t>
    </r>
  </si>
  <si>
    <r>
      <rPr>
        <b val="true"/>
        <u val="single"/>
        <sz val="10"/>
        <rFont val="Times New Roman"/>
        <family val="1"/>
      </rPr>
      <t xml:space="preserve">Implied Multiples </t>
    </r>
    <r>
      <rPr>
        <b val="true"/>
        <u val="single"/>
        <vertAlign val="superscript"/>
        <sz val="10"/>
        <rFont val="Times New Roman"/>
        <family val="1"/>
      </rPr>
      <t xml:space="preserve">(8)</t>
    </r>
  </si>
  <si>
    <r>
      <rPr>
        <sz val="10"/>
        <rFont val="Times New Roman"/>
        <family val="0"/>
      </rPr>
      <t xml:space="preserve">Enterprise Value / EBITDA </t>
    </r>
    <r>
      <rPr>
        <vertAlign val="superscript"/>
        <sz val="10"/>
        <rFont val="Times New Roman"/>
        <family val="1"/>
      </rPr>
      <t xml:space="preserve">(9)</t>
    </r>
  </si>
  <si>
    <t xml:space="preserve">Enterprise Value / Net PP&amp;E</t>
  </si>
  <si>
    <t xml:space="preserve">Equity Value / Book Equity</t>
  </si>
  <si>
    <t xml:space="preserve">Price/Earnings</t>
  </si>
  <si>
    <t xml:space="preserve">Enterprise Value/KW</t>
  </si>
  <si>
    <t xml:space="preserve">Debt as of 12/31/99.  Allocated to each segment on the basis of the enterprise value.</t>
  </si>
  <si>
    <t xml:space="preserve">Tax basis was calculated using deferred assets and was allocated between various segments according to the assets (PP&amp;E).</t>
  </si>
  <si>
    <t xml:space="preserve">Gain (Loss) on the final stock sale includes the effect of paying off the debt.</t>
  </si>
  <si>
    <t xml:space="preserve">DLJ research report dated Nov 9, 1999.</t>
  </si>
  <si>
    <t xml:space="preserve">The financial performance of the Utility was allocated to T&amp;D and Generation on tbe basis of PP&amp;E.</t>
  </si>
  <si>
    <t xml:space="preserve">The Net PP&amp;E information was sourced from 12/31/99 Form 10-K.</t>
  </si>
  <si>
    <t xml:space="preserve">The generation asset includes 9329MW of  baseload coal; 493MW of Coal as mid merit; 1400 MW of Oil &amp; Gas and 45MW of pump as peaking.</t>
  </si>
  <si>
    <t xml:space="preserve">The multiples in bold were used to value the assets.</t>
  </si>
  <si>
    <t xml:space="preserve">The split between Generation and T&amp;D was unavailable, thus net PP&amp;E was used to allocate EBITDA.</t>
  </si>
  <si>
    <t xml:space="preserve">Net Gain to ENE from Full Breakup Valuation</t>
  </si>
  <si>
    <t xml:space="preserve">Acqusition Premium</t>
  </si>
  <si>
    <t xml:space="preserve">Implied Acquisition Multiples</t>
  </si>
  <si>
    <t xml:space="preserve">Enterprise Value / EBITDA</t>
  </si>
  <si>
    <t xml:space="preserve">Premium</t>
  </si>
  <si>
    <t xml:space="preserve">Tax Leakage</t>
  </si>
  <si>
    <t xml:space="preserve">Net Gain to ENE</t>
  </si>
  <si>
    <t xml:space="preserve">Low</t>
  </si>
  <si>
    <t xml:space="preserve">EXPECTED TRANSACTION (KEEP PEAKING/INTER GENERATION ASSETS)</t>
  </si>
  <si>
    <t xml:space="preserve">Sell CG&amp;E T&amp;D Assets</t>
  </si>
  <si>
    <t xml:space="preserve">Transfer CG&amp;E peaking+mid-gen.to ENE subsidiary (pay taxes)</t>
  </si>
  <si>
    <t xml:space="preserve">Sell  Cinergy Stock (CG&amp;E baseload generation)</t>
  </si>
  <si>
    <t xml:space="preserve">The Mercantile on 1010 Prairie @ Main</t>
  </si>
  <si>
    <t xml:space="preserve">1. Acquire Cinergy</t>
  </si>
  <si>
    <t xml:space="preserve">$mm</t>
  </si>
  <si>
    <t xml:space="preserve">Asset Transfer</t>
  </si>
  <si>
    <t xml:space="preserve">Cost of acquiring the assets</t>
  </si>
  <si>
    <t xml:space="preserve">Market Value (Enterprise Value) of the assets</t>
  </si>
  <si>
    <t xml:space="preserve">Other Issues:</t>
  </si>
  <si>
    <t xml:space="preserve">No synergies have been assumed</t>
  </si>
  <si>
    <t xml:space="preserve">The environmental costs have been ignored</t>
  </si>
  <si>
    <t xml:space="preserve">There is a regulatory risk inherent in this transaction</t>
  </si>
  <si>
    <t xml:space="preserve">Most of Cinergy's generating assets are base load</t>
  </si>
  <si>
    <t xml:space="preserve">Comparison of Multiples for Expected Transaction</t>
  </si>
  <si>
    <t xml:space="preserve">E. Pay Taxes</t>
  </si>
  <si>
    <t xml:space="preserve">B.  Sell</t>
  </si>
  <si>
    <t xml:space="preserve">on Transfer</t>
  </si>
  <si>
    <t xml:space="preserve">F.  Sell CIN Stock</t>
  </si>
  <si>
    <t xml:space="preserve">A. Acquire CIN</t>
  </si>
  <si>
    <t xml:space="preserve">C.  Sell CG&amp;E</t>
  </si>
  <si>
    <t xml:space="preserve">D.  Sell CG&amp;E</t>
  </si>
  <si>
    <t xml:space="preserve">of Peaking &amp;</t>
  </si>
  <si>
    <t xml:space="preserve">(CG&amp;E baseload</t>
  </si>
  <si>
    <t xml:space="preserve">Net (Cost) of </t>
  </si>
  <si>
    <t xml:space="preserve">Ent. Val.</t>
  </si>
  <si>
    <t xml:space="preserve">mid-merit</t>
  </si>
  <si>
    <t xml:space="preserve">generation assets)</t>
  </si>
  <si>
    <t xml:space="preserve">Net PP&amp;E as of 12/31/99 (source = SEC Form 10-K)</t>
  </si>
  <si>
    <t xml:space="preserve">Net PP&amp;Eas of 12/31/99 (source = SEC Form 10-K)</t>
  </si>
  <si>
    <t xml:space="preserve">SUMMARY VALUATION </t>
  </si>
  <si>
    <r>
      <rPr>
        <b val="true"/>
        <sz val="15"/>
        <rFont val="Times New Roman"/>
        <family val="1"/>
      </rPr>
      <t xml:space="preserve">Current Stock Price</t>
    </r>
    <r>
      <rPr>
        <b val="true"/>
        <vertAlign val="superscript"/>
        <sz val="15"/>
        <rFont val="Times New Roman"/>
        <family val="1"/>
      </rPr>
      <t xml:space="preserve">(1)</t>
    </r>
  </si>
  <si>
    <t xml:space="preserve">Premium/(Discount) to Market</t>
  </si>
  <si>
    <t xml:space="preserve">Corporate Analysis:</t>
  </si>
  <si>
    <t xml:space="preserve">Comparable Trading</t>
  </si>
  <si>
    <t xml:space="preserve">Comparable Corporate Transactions</t>
  </si>
  <si>
    <t xml:space="preserve">Segment Analysis:</t>
  </si>
  <si>
    <t xml:space="preserve">Comparable Asset Transactions</t>
  </si>
  <si>
    <t xml:space="preserve">Implied Multiples </t>
  </si>
  <si>
    <t xml:space="preserve">Premium Paid Over Market Price</t>
  </si>
  <si>
    <t xml:space="preserve">CompCo </t>
  </si>
  <si>
    <t xml:space="preserve">Company Data</t>
  </si>
  <si>
    <r>
      <rPr>
        <b val="true"/>
        <sz val="10"/>
        <rFont val="Times New Roman"/>
        <family val="1"/>
      </rPr>
      <t xml:space="preserve">Multiples</t>
    </r>
    <r>
      <rPr>
        <b val="true"/>
        <vertAlign val="superscript"/>
        <sz val="10"/>
        <rFont val="Times New Roman"/>
        <family val="1"/>
      </rPr>
      <t xml:space="preserve">(4)</t>
    </r>
  </si>
  <si>
    <t xml:space="preserve">Data</t>
  </si>
  <si>
    <r>
      <rPr>
        <sz val="10"/>
        <rFont val="Times New Roman"/>
        <family val="1"/>
      </rPr>
      <t xml:space="preserve">1999E P/E</t>
    </r>
    <r>
      <rPr>
        <vertAlign val="superscript"/>
        <sz val="10"/>
        <rFont val="Times New Roman"/>
        <family val="1"/>
      </rPr>
      <t xml:space="preserve">(2)</t>
    </r>
  </si>
  <si>
    <r>
      <rPr>
        <sz val="10"/>
        <rFont val="Times New Roman"/>
        <family val="1"/>
      </rPr>
      <t xml:space="preserve">2000E P/E</t>
    </r>
    <r>
      <rPr>
        <vertAlign val="superscript"/>
        <sz val="10"/>
        <rFont val="Times New Roman"/>
        <family val="1"/>
      </rPr>
      <t xml:space="preserve">(2)</t>
    </r>
  </si>
  <si>
    <r>
      <rPr>
        <sz val="10"/>
        <rFont val="Times New Roman"/>
        <family val="1"/>
      </rPr>
      <t xml:space="preserve">1999E P/CFFO</t>
    </r>
    <r>
      <rPr>
        <vertAlign val="superscript"/>
        <sz val="10"/>
        <rFont val="Times New Roman"/>
        <family val="1"/>
      </rPr>
      <t xml:space="preserve">(2)</t>
    </r>
  </si>
  <si>
    <t xml:space="preserve">n.a.</t>
  </si>
  <si>
    <r>
      <rPr>
        <sz val="10"/>
        <rFont val="Times New Roman"/>
        <family val="1"/>
      </rPr>
      <t xml:space="preserve">2000E P/CFFO</t>
    </r>
    <r>
      <rPr>
        <vertAlign val="superscript"/>
        <sz val="10"/>
        <rFont val="Times New Roman"/>
        <family val="1"/>
      </rPr>
      <t xml:space="preserve">(2)</t>
    </r>
  </si>
  <si>
    <t xml:space="preserve">1999A Price/Book Value</t>
  </si>
  <si>
    <r>
      <rPr>
        <sz val="10"/>
        <rFont val="Times New Roman"/>
        <family val="1"/>
      </rPr>
      <t xml:space="preserve">1999E Enterprise Value/EBITDA</t>
    </r>
    <r>
      <rPr>
        <vertAlign val="superscript"/>
        <sz val="10"/>
        <rFont val="Times New Roman"/>
        <family val="1"/>
      </rPr>
      <t xml:space="preserve">(2)</t>
    </r>
  </si>
  <si>
    <r>
      <rPr>
        <sz val="10"/>
        <rFont val="Times New Roman"/>
        <family val="1"/>
      </rPr>
      <t xml:space="preserve">2000E Enterprise Value/EBITDA</t>
    </r>
    <r>
      <rPr>
        <vertAlign val="superscript"/>
        <sz val="10"/>
        <rFont val="Times New Roman"/>
        <family val="1"/>
      </rPr>
      <t xml:space="preserve">(2)</t>
    </r>
  </si>
  <si>
    <r>
      <rPr>
        <sz val="10"/>
        <rFont val="Times New Roman"/>
        <family val="1"/>
      </rPr>
      <t xml:space="preserve">1999E Enterprise Value/EBIT</t>
    </r>
    <r>
      <rPr>
        <vertAlign val="superscript"/>
        <sz val="10"/>
        <rFont val="Times New Roman"/>
        <family val="1"/>
      </rPr>
      <t xml:space="preserve">(2)</t>
    </r>
  </si>
  <si>
    <r>
      <rPr>
        <sz val="10"/>
        <rFont val="Times New Roman"/>
        <family val="1"/>
      </rPr>
      <t xml:space="preserve">2000E Enterprise Value/EBIT</t>
    </r>
    <r>
      <rPr>
        <vertAlign val="superscript"/>
        <sz val="10"/>
        <rFont val="Times New Roman"/>
        <family val="1"/>
      </rPr>
      <t xml:space="preserve">(2)</t>
    </r>
  </si>
  <si>
    <t xml:space="preserve">Accretive (Dilutive) to Enron EPS By (1):</t>
  </si>
  <si>
    <t xml:space="preserve">Year</t>
  </si>
  <si>
    <t xml:space="preserve">(1)  As of March 15, 2000.</t>
  </si>
  <si>
    <t xml:space="preserve">(2)  Source of forecast data:  DLJ research report dated November 9, 2000.</t>
  </si>
  <si>
    <t xml:space="preserve">(3)  Assuming ENE capital structure is maintained and there are no synergies.</t>
  </si>
  <si>
    <t xml:space="preserve">(4)  Comparable Companies include:  American Electric Power, First Energy Corp., Reliant Energy, Southern Company, Texas Utilities and Wisconsin Energy Corp.</t>
  </si>
  <si>
    <t xml:space="preserve">INCOME STATEMENT</t>
  </si>
  <si>
    <t xml:space="preserve">BALANCE SHEET</t>
  </si>
  <si>
    <t xml:space="preserve">In millions Except Per Share Amounts</t>
  </si>
  <si>
    <t xml:space="preserve">12/31/96</t>
  </si>
  <si>
    <t xml:space="preserve">12/31/97</t>
  </si>
  <si>
    <t xml:space="preserve">12/31/98</t>
  </si>
  <si>
    <t xml:space="preserve">9 mo 98</t>
  </si>
  <si>
    <t xml:space="preserve">9 mo 99</t>
  </si>
  <si>
    <t xml:space="preserve">LTM</t>
  </si>
  <si>
    <t xml:space="preserve">12/31/99</t>
  </si>
  <si>
    <t xml:space="preserve">12/31/00</t>
  </si>
  <si>
    <t xml:space="preserve">12/31/01</t>
  </si>
  <si>
    <t xml:space="preserve">In Thousands For Period Ended Sep 30, 1999</t>
  </si>
  <si>
    <t xml:space="preserve">09/30/99</t>
  </si>
  <si>
    <t xml:space="preserve">Operating Revenues</t>
  </si>
  <si>
    <t xml:space="preserve">     Current Assets</t>
  </si>
  <si>
    <t xml:space="preserve">               Electric</t>
  </si>
  <si>
    <t xml:space="preserve">          Cash and temporary cash investments</t>
  </si>
  <si>
    <t xml:space="preserve">               Gas</t>
  </si>
  <si>
    <t xml:space="preserve">          Restricted deposits</t>
  </si>
  <si>
    <t xml:space="preserve">               Other</t>
  </si>
  <si>
    <t xml:space="preserve">          Notes receivable</t>
  </si>
  <si>
    <t xml:space="preserve">          Accounts receivable less accumulated provision for doubtful accounts of $31,057 at September 30, 1999, and $25,622 at December 31, 1998</t>
  </si>
  <si>
    <t xml:space="preserve">Operating Expenses</t>
  </si>
  <si>
    <t xml:space="preserve">          Materials, supplies, and fuel--at average cost</t>
  </si>
  <si>
    <t xml:space="preserve">               Fuel and purchased and exchanged power</t>
  </si>
  <si>
    <t xml:space="preserve">          Energy risk management assets</t>
  </si>
  <si>
    <t xml:space="preserve">               Gas purchased</t>
  </si>
  <si>
    <t xml:space="preserve">          Prepayments and other</t>
  </si>
  <si>
    <t xml:space="preserve">               Other operation and maintenance</t>
  </si>
  <si>
    <t xml:space="preserve">               Depreciation and amortization</t>
  </si>
  <si>
    <t xml:space="preserve">     Utility Plant--Original Cost</t>
  </si>
  <si>
    <t xml:space="preserve">               Taxes other than income taxes</t>
  </si>
  <si>
    <t xml:space="preserve">          In service</t>
  </si>
  <si>
    <t xml:space="preserve">Operating Income</t>
  </si>
  <si>
    <t xml:space="preserve">          Equity in Earnings of Unconsolidated Subsidiaries</t>
  </si>
  <si>
    <t xml:space="preserve">               Common</t>
  </si>
  <si>
    <t xml:space="preserve">          Other Income and (Expenses) - Net</t>
  </si>
  <si>
    <t xml:space="preserve">          Interest</t>
  </si>
  <si>
    <t xml:space="preserve">          Accumulated depreciation</t>
  </si>
  <si>
    <t xml:space="preserve">Income (Loss) Before Taxes</t>
  </si>
  <si>
    <t xml:space="preserve">          Income Taxes</t>
  </si>
  <si>
    <t xml:space="preserve">               Construction work in progress</t>
  </si>
  <si>
    <t xml:space="preserve">          Preferred Dividend Requirements of Subsidiaries</t>
  </si>
  <si>
    <t xml:space="preserve">     Total utility plant</t>
  </si>
  <si>
    <t xml:space="preserve">Net Income (Loss) before extraordinary</t>
  </si>
  <si>
    <t xml:space="preserve">     Other Assets</t>
  </si>
  <si>
    <t xml:space="preserve">Extraordinary Item</t>
  </si>
  <si>
    <t xml:space="preserve">          Regulatory assets</t>
  </si>
  <si>
    <t xml:space="preserve">          Investments in unconsolidated subsidiaries</t>
  </si>
  <si>
    <t xml:space="preserve">Earnings Per Common Share</t>
  </si>
  <si>
    <t xml:space="preserve">          Other</t>
  </si>
  <si>
    <t xml:space="preserve">Net Income before extraordinary</t>
  </si>
  <si>
    <t xml:space="preserve">Additional Extraordinary</t>
  </si>
  <si>
    <t xml:space="preserve">Less cost of reacquisition of pref. Stock of sub.</t>
  </si>
  <si>
    <t xml:space="preserve">          Current Liabilities</t>
  </si>
  <si>
    <t xml:space="preserve">Earnings</t>
  </si>
  <si>
    <t xml:space="preserve">               Accounts payable</t>
  </si>
  <si>
    <t xml:space="preserve">Basic</t>
  </si>
  <si>
    <t xml:space="preserve">               Accrued taxes</t>
  </si>
  <si>
    <t xml:space="preserve">Assuming dilution</t>
  </si>
  <si>
    <t xml:space="preserve">               Accrued interest</t>
  </si>
  <si>
    <t xml:space="preserve">               Notes payable and other short-term obligations</t>
  </si>
  <si>
    <t xml:space="preserve">Dividends Declared Per Common Share</t>
  </si>
  <si>
    <t xml:space="preserve">               Long-term debt due within one year</t>
  </si>
  <si>
    <t xml:space="preserve">               Energy risk management liabilities</t>
  </si>
  <si>
    <t xml:space="preserve">Average Common Shares Outstanding</t>
  </si>
  <si>
    <t xml:space="preserve">Common stock options</t>
  </si>
  <si>
    <t xml:space="preserve">          Non-Current Liabilities</t>
  </si>
  <si>
    <t xml:space="preserve">Contingently issuable common stock</t>
  </si>
  <si>
    <t xml:space="preserve">               Long-term debt</t>
  </si>
  <si>
    <t xml:space="preserve">               Deferred income taxes</t>
  </si>
  <si>
    <t xml:space="preserve">               Unamortized investment tax credits</t>
  </si>
  <si>
    <t xml:space="preserve">Pretax Extraordinary Expense</t>
  </si>
  <si>
    <t xml:space="preserve">               Accrued pension and other postretirement benefit costs</t>
  </si>
  <si>
    <t xml:space="preserve">.</t>
  </si>
  <si>
    <t xml:space="preserve">*Assumes Tax rate of:</t>
  </si>
  <si>
    <t xml:space="preserve">*Forecasts come from first call estimate of earnings</t>
  </si>
  <si>
    <t xml:space="preserve">     Total liabilities</t>
  </si>
  <si>
    <t xml:space="preserve">*Data from DLJ report dated 11/19/99</t>
  </si>
  <si>
    <t xml:space="preserve">     Cumulative Preferred Stock of</t>
  </si>
  <si>
    <t xml:space="preserve">     Subsidiaries</t>
  </si>
  <si>
    <t xml:space="preserve">     Not subject to mandatory redemption</t>
  </si>
  <si>
    <t xml:space="preserve">     Common Stock Equity</t>
  </si>
  <si>
    <t xml:space="preserve">          Common stock--$.01 par value; authorized shares--600,000,000; outstanding shares--158,917,210 at September 30, 1999, and 158,664,532 at December 31, 1998</t>
  </si>
  <si>
    <t xml:space="preserve">          Paid-in capital</t>
  </si>
  <si>
    <t xml:space="preserve">Current Stock Price of Target</t>
  </si>
  <si>
    <t xml:space="preserve">          Retained earnings</t>
  </si>
  <si>
    <t xml:space="preserve">Current Stock Price of ENE</t>
  </si>
  <si>
    <t xml:space="preserve">          Accumulated other comprehensive loss</t>
  </si>
  <si>
    <t xml:space="preserve">Total common stock equity</t>
  </si>
  <si>
    <t xml:space="preserve">CALCULATION OF NET DEBT  (10K)</t>
  </si>
  <si>
    <t xml:space="preserve">Consolidated</t>
  </si>
  <si>
    <t xml:space="preserve">UL,H&amp;P</t>
  </si>
  <si>
    <t xml:space="preserve">Total (1+2)</t>
  </si>
  <si>
    <t xml:space="preserve">Holding Level</t>
  </si>
  <si>
    <t xml:space="preserve">Long-term debt</t>
  </si>
  <si>
    <t xml:space="preserve">Notes payable and other short-term obligations</t>
  </si>
  <si>
    <t xml:space="preserve">Others</t>
  </si>
  <si>
    <t xml:space="preserve">Long-term debt due within one year</t>
  </si>
  <si>
    <t xml:space="preserve">Prefered Stock</t>
  </si>
  <si>
    <t xml:space="preserve">Total Debt + Preferred</t>
  </si>
  <si>
    <t xml:space="preserve">Cash</t>
  </si>
  <si>
    <t xml:space="preserve">Net Debt</t>
  </si>
  <si>
    <t xml:space="preserve">Allocated Debt</t>
  </si>
  <si>
    <t xml:space="preserve">Total Net</t>
  </si>
  <si>
    <t xml:space="preserve">Cat</t>
  </si>
  <si>
    <t xml:space="preserve">Comps</t>
  </si>
  <si>
    <t xml:space="preserve">Market</t>
  </si>
  <si>
    <t xml:space="preserve">Enterprise</t>
  </si>
  <si>
    <t xml:space="preserve">EV/EBITDA</t>
  </si>
  <si>
    <t xml:space="preserve">Net PP&amp;E</t>
  </si>
  <si>
    <t xml:space="preserve">EV/Net PP&amp;E</t>
  </si>
  <si>
    <t xml:space="preserve">EBITDA/NI</t>
  </si>
  <si>
    <t xml:space="preserve">EPS</t>
  </si>
  <si>
    <t xml:space="preserve">P/E</t>
  </si>
  <si>
    <t xml:space="preserve">IOU's</t>
  </si>
  <si>
    <t xml:space="preserve">Ticker</t>
  </si>
  <si>
    <t xml:space="preserve">Price</t>
  </si>
  <si>
    <t xml:space="preserve">Outstanding</t>
  </si>
  <si>
    <t xml:space="preserve">Cap</t>
  </si>
  <si>
    <t xml:space="preserve">Debt</t>
  </si>
  <si>
    <t xml:space="preserve">Preferred</t>
  </si>
  <si>
    <t xml:space="preserve">AMEREN CORP</t>
  </si>
  <si>
    <t xml:space="preserve">AEE</t>
  </si>
  <si>
    <t xml:space="preserve">AMERICAN ELECTRIC POWER</t>
  </si>
  <si>
    <t xml:space="preserve">AEP</t>
  </si>
  <si>
    <t xml:space="preserve">FIRSTENERGY CORP</t>
  </si>
  <si>
    <t xml:space="preserve">FE</t>
  </si>
  <si>
    <t xml:space="preserve">ILLINOVA CORP</t>
  </si>
  <si>
    <t xml:space="preserve">ILN</t>
  </si>
  <si>
    <t xml:space="preserve">LGE ENERGY</t>
  </si>
  <si>
    <t xml:space="preserve">LGE</t>
  </si>
  <si>
    <t xml:space="preserve">NISOURCE INC</t>
  </si>
  <si>
    <t xml:space="preserve">NI</t>
  </si>
  <si>
    <t xml:space="preserve">RELIANT ENERGY</t>
  </si>
  <si>
    <t xml:space="preserve">REI</t>
  </si>
  <si>
    <t xml:space="preserve">SOUTHERN CO</t>
  </si>
  <si>
    <t xml:space="preserve">SO</t>
  </si>
  <si>
    <t xml:space="preserve">TEXAS UTILITIES CO</t>
  </si>
  <si>
    <t xml:space="preserve">TXU</t>
  </si>
  <si>
    <t xml:space="preserve">UNICOM CORP</t>
  </si>
  <si>
    <t xml:space="preserve">UCM</t>
  </si>
  <si>
    <t xml:space="preserve">Minimum</t>
  </si>
  <si>
    <t xml:space="preserve">Maximum</t>
  </si>
  <si>
    <t xml:space="preserve">Average</t>
  </si>
  <si>
    <t xml:space="preserve">Median</t>
  </si>
  <si>
    <t xml:space="preserve">Comparable Companies include:  Ameren, AEP, First Energy, Illinova, LG&amp;E, NiSource, Reliant, Southern Co., Texas Utilities and Unicom.</t>
  </si>
  <si>
    <t xml:space="preserve">PROJECT RATIONALE</t>
  </si>
  <si>
    <t xml:space="preserve">PROS</t>
  </si>
  <si>
    <t xml:space="preserve">Sum of the parts analysis indicates material undervaluation.</t>
  </si>
  <si>
    <t xml:space="preserve">Ohio generation can move into Chicago and NE markets.</t>
  </si>
  <si>
    <t xml:space="preserve">Potential reservoir storage development</t>
  </si>
  <si>
    <t xml:space="preserve">CONS</t>
  </si>
  <si>
    <t xml:space="preserve">Forecast $500-$700 mm expenditure to conform with potential EPA guidelines.</t>
  </si>
  <si>
    <t xml:space="preserve">Ohio deregulation not effective until 1/1/01, structure of deregulation is unclear.</t>
  </si>
  <si>
    <t xml:space="preserve">Realizing value is hindered by taxes, unresolved stranded cost treatment, and undefined PUC deregulation plan.</t>
  </si>
  <si>
    <t xml:space="preserve">RETAINED PEAKING/INTERMID GENERATION ASSETS</t>
  </si>
  <si>
    <t xml:space="preserve">Fuel</t>
  </si>
  <si>
    <t xml:space="preserve">Capability</t>
  </si>
  <si>
    <t xml:space="preserve">Type</t>
  </si>
  <si>
    <t xml:space="preserve">(KW)</t>
  </si>
  <si>
    <t xml:space="preserve">Steam Units:</t>
  </si>
  <si>
    <t xml:space="preserve">Miami Fort Station (Units 5&amp;6)</t>
  </si>
  <si>
    <t xml:space="preserve">Edwardsport Station</t>
  </si>
  <si>
    <t xml:space="preserve">Noblesville Station</t>
  </si>
  <si>
    <t xml:space="preserve">Combustion Turbines:</t>
  </si>
  <si>
    <t xml:space="preserve">Dicks Creek Station</t>
  </si>
  <si>
    <t xml:space="preserve">Gas</t>
  </si>
  <si>
    <t xml:space="preserve">Woodsdale Generating Station</t>
  </si>
  <si>
    <t xml:space="preserve">Miami Fort Gas Turbine Station</t>
  </si>
  <si>
    <t xml:space="preserve">Oil</t>
  </si>
  <si>
    <t xml:space="preserve">W.C. Beckjord Gas Turbine Station</t>
  </si>
  <si>
    <t xml:space="preserve">Cayuga Combustion Turbine</t>
  </si>
  <si>
    <t xml:space="preserve">Cayuga Peaking Units</t>
  </si>
  <si>
    <t xml:space="preserve">Connersville Peaking Station</t>
  </si>
  <si>
    <t xml:space="preserve">Miami-Wabash Peaking Station</t>
  </si>
  <si>
    <t xml:space="preserve">Wabash River Peaking Units</t>
  </si>
  <si>
    <t xml:space="preserve">GENERATION OVERVIEW</t>
  </si>
  <si>
    <t xml:space="preserve">CG&amp;E Generation Assets</t>
  </si>
  <si>
    <t xml:space="preserve">PSI Generation Assets</t>
  </si>
  <si>
    <t xml:space="preserve">I</t>
  </si>
  <si>
    <t xml:space="preserve">Cayuga Station</t>
  </si>
  <si>
    <t xml:space="preserve">B</t>
  </si>
  <si>
    <t xml:space="preserve">W.C. Beckjord Station (Units 1-5)</t>
  </si>
  <si>
    <t xml:space="preserve">Gibson Generating Station (Units 1-4)</t>
  </si>
  <si>
    <t xml:space="preserve">P</t>
  </si>
  <si>
    <t xml:space="preserve">R.A. Gallagher Station</t>
  </si>
  <si>
    <t xml:space="preserve">Wabash River Coal Gasification Project</t>
  </si>
  <si>
    <t xml:space="preserve">Wabash River Station</t>
  </si>
  <si>
    <t xml:space="preserve">Joint Venture Power Assets</t>
  </si>
  <si>
    <t xml:space="preserve">Ownership</t>
  </si>
  <si>
    <t xml:space="preserve">Conesville Station</t>
  </si>
  <si>
    <t xml:space="preserve">East Bend Station</t>
  </si>
  <si>
    <t xml:space="preserve">J.M. Stuart Station</t>
  </si>
  <si>
    <t xml:space="preserve">Killen Station</t>
  </si>
  <si>
    <t xml:space="preserve">Miami Fort Station (Units 7&amp;8)</t>
  </si>
  <si>
    <t xml:space="preserve">W.C. Beckjord Station (Unit 6)</t>
  </si>
  <si>
    <t xml:space="preserve">William H. Zimmer Generating Station</t>
  </si>
  <si>
    <t xml:space="preserve">Markland Generating Station</t>
  </si>
  <si>
    <t xml:space="preserve">Water</t>
  </si>
  <si>
    <t xml:space="preserve">Gibson Generating Station</t>
  </si>
  <si>
    <t xml:space="preserve">Base Load</t>
  </si>
  <si>
    <t xml:space="preserve">Peaking/Intermediate</t>
  </si>
  <si>
    <t xml:space="preserve">TRANSMISSION &amp; DISTRIBUTION</t>
  </si>
  <si>
    <t xml:space="preserve">Electric</t>
  </si>
  <si>
    <t xml:space="preserve">SUBSTATION </t>
  </si>
  <si>
    <t xml:space="preserve">COMB KVa</t>
  </si>
  <si>
    <t xml:space="preserve">ULH&amp;P</t>
  </si>
  <si>
    <t xml:space="preserve">(CIRCUIT MILES)</t>
  </si>
  <si>
    <t xml:space="preserve">CINERGY</t>
  </si>
  <si>
    <t xml:space="preserve">Recent Events:</t>
  </si>
  <si>
    <t xml:space="preserve">9/15/99 - N. Y. announced it would sue owners of 17 midwest coal plants including Cinergy's 950 MW Beckjord</t>
  </si>
  <si>
    <t xml:space="preserve">8/11/99 - Company announces it will review strategic alternatives including the sale of the geration and supply assets, as well as the power marketing arm</t>
  </si>
  <si>
    <t xml:space="preserve">8/10/1999 - Cinergy revealed that the July Heat wave will cost the company $73 million </t>
  </si>
  <si>
    <t xml:space="preserve">7/30/1999 - Cinergy declares force majure on a number of power contracts</t>
  </si>
  <si>
    <t xml:space="preserve">7/7/1999 - Cinergy announces it will sell its 50% stake in Midlands Electric, a British utility for $670 million; proceeds to be used to repay debt</t>
  </si>
  <si>
    <t xml:space="preserve">7/6/1999 - OH governor signs Electricity Deregulation Bill</t>
  </si>
  <si>
    <t xml:space="preserve">6/23/1999 - Cinergy announces it will buy remainder of Dynegy's coal gasification contract for $250 million</t>
  </si>
  <si>
    <t xml:space="preserve">3/4/1999 - OH PUC orders utilities to file their Summer 1999 plans to prevent capacity deficiency</t>
  </si>
  <si>
    <t xml:space="preserve">1/6/1999 - Cinergy announces it will form a joint venture with Lattice comm to use existing transmission towers as communication antennas</t>
  </si>
  <si>
    <t xml:space="preserve">Trading Comp Evaluation</t>
  </si>
  <si>
    <t xml:space="preserve">Cinergy Consolidated Summary</t>
  </si>
  <si>
    <t xml:space="preserve">As a multiple of:</t>
  </si>
  <si>
    <t xml:space="preserve">Values</t>
  </si>
  <si>
    <t xml:space="preserve">1999E (1)</t>
  </si>
  <si>
    <t xml:space="preserve">2000E</t>
  </si>
  <si>
    <t xml:space="preserve">1999E (2)</t>
  </si>
  <si>
    <t xml:space="preserve">2000E (2)</t>
  </si>
  <si>
    <t xml:space="preserve">Book</t>
  </si>
  <si>
    <t xml:space="preserve">Reference Range:</t>
  </si>
  <si>
    <t xml:space="preserve">Net Debt:</t>
  </si>
  <si>
    <t xml:space="preserve">Total equity value</t>
  </si>
  <si>
    <t xml:space="preserve">(1) EBITDA forecasts are modeled back from firstcall EPS consensus</t>
  </si>
  <si>
    <t xml:space="preserve">(2) Net income estimates are from first call EPS consensus</t>
  </si>
  <si>
    <t xml:space="preserve">Corporate Transactions Analysis</t>
  </si>
  <si>
    <t xml:space="preserve"> </t>
  </si>
  <si>
    <t xml:space="preserve">LTM (1)</t>
  </si>
  <si>
    <t xml:space="preserve">1999 (2)</t>
  </si>
  <si>
    <t xml:space="preserve">2000 (2)</t>
  </si>
  <si>
    <t xml:space="preserve">(1) From the 10-K and 10-Q</t>
  </si>
  <si>
    <t xml:space="preserve">Precedent Electric M&amp;A Transactions</t>
  </si>
  <si>
    <t xml:space="preserve">SEGMENT VALUATION -  Comparable Trading</t>
  </si>
  <si>
    <t xml:space="preserve">(US$mm)</t>
  </si>
  <si>
    <t xml:space="preserve">Selected</t>
  </si>
  <si>
    <t xml:space="preserve">Valuation Methodology</t>
  </si>
  <si>
    <t xml:space="preserve">CG&amp;E Electric</t>
  </si>
  <si>
    <t xml:space="preserve">EBITDA (2000E)</t>
  </si>
  <si>
    <t xml:space="preserve">(1)</t>
  </si>
  <si>
    <t xml:space="preserve">------</t>
  </si>
  <si>
    <t xml:space="preserve">Net Income (2000E)</t>
  </si>
  <si>
    <t xml:space="preserve">CG&amp;E Gas</t>
  </si>
  <si>
    <t xml:space="preserve">    Enterprise Value</t>
  </si>
  <si>
    <t xml:space="preserve">per share</t>
  </si>
  <si>
    <t xml:space="preserve">(1)  Source: Sander Morris Mundy research report dated ______.</t>
  </si>
  <si>
    <t xml:space="preserve">Current Price</t>
  </si>
  <si>
    <t xml:space="preserve">10Q</t>
  </si>
  <si>
    <t xml:space="preserve">Comparable LDCs</t>
  </si>
  <si>
    <t xml:space="preserve">DELTA NATURAL GAS CO</t>
  </si>
  <si>
    <t xml:space="preserve">ENERGYNORTH INC</t>
  </si>
  <si>
    <t xml:space="preserve">FALL RIVER GAS CO</t>
  </si>
  <si>
    <t xml:space="preserve">PROVIDENCE ENERGY CORP</t>
  </si>
  <si>
    <t xml:space="preserve">ROANOKE GAS CO</t>
  </si>
  <si>
    <t xml:space="preserve">VALLEY RESOURCES</t>
  </si>
  <si>
    <t xml:space="preserve">CIN</t>
  </si>
  <si>
    <t xml:space="preserve">Accretion/Dillution Analysis</t>
  </si>
  <si>
    <t xml:space="preserve">($'s in millions except per share)</t>
  </si>
  <si>
    <t xml:space="preserve">Entity Shares outstanding </t>
  </si>
  <si>
    <t xml:space="preserve">Entity share price as of close</t>
  </si>
  <si>
    <t xml:space="preserve">Accretion/Dilution Analysis</t>
  </si>
  <si>
    <t xml:space="preserve">Enron Share Price as of close</t>
  </si>
  <si>
    <t xml:space="preserve">Enron Net Income</t>
  </si>
  <si>
    <t xml:space="preserve">Market Capitalization ($MMs)</t>
  </si>
  <si>
    <t xml:space="preserve">Entity Net Income</t>
  </si>
  <si>
    <t xml:space="preserve">plus Equity Purchase Premium</t>
  </si>
  <si>
    <t xml:space="preserve">Goodwill amortation</t>
  </si>
  <si>
    <t xml:space="preserve">Equity Market Cap with Premium</t>
  </si>
  <si>
    <t xml:space="preserve">     Effect of change in Debt</t>
  </si>
  <si>
    <t xml:space="preserve">Entity Net Income  (Adjusted)</t>
  </si>
  <si>
    <t xml:space="preserve">Combined Net Income</t>
  </si>
  <si>
    <t xml:space="preserve">Target ENE Debt/Equity</t>
  </si>
  <si>
    <t xml:space="preserve">Old Enron shares</t>
  </si>
  <si>
    <t xml:space="preserve">New Enron shares</t>
  </si>
  <si>
    <t xml:space="preserve">Funding</t>
  </si>
  <si>
    <t xml:space="preserve">Post Transaction shares</t>
  </si>
  <si>
    <t xml:space="preserve">Equity</t>
  </si>
  <si>
    <t xml:space="preserve">Fully Diluted</t>
  </si>
  <si>
    <t xml:space="preserve">Forecast Enron EPS</t>
  </si>
  <si>
    <r>
      <rPr>
        <sz val="10"/>
        <rFont val="Arial"/>
        <family val="2"/>
      </rPr>
      <t xml:space="preserve">Combined EPS - </t>
    </r>
    <r>
      <rPr>
        <sz val="8"/>
        <rFont val="Arial"/>
        <family val="2"/>
      </rPr>
      <t xml:space="preserve">assum 30% premium over market</t>
    </r>
  </si>
  <si>
    <t xml:space="preserve">Enron Shares Issued (MM)</t>
  </si>
  <si>
    <t xml:space="preserve">Accretion / (Dilution) </t>
  </si>
  <si>
    <t xml:space="preserve">Current Outstanding ENE Shares</t>
  </si>
  <si>
    <t xml:space="preserve">% of Shares Outstanding</t>
  </si>
  <si>
    <t xml:space="preserve">Change in Debt</t>
  </si>
  <si>
    <t xml:space="preserve">Accretion/Dillution </t>
  </si>
  <si>
    <t xml:space="preserve">Goodwill Calculation</t>
  </si>
  <si>
    <t xml:space="preserve">Purchase Price of Equity</t>
  </si>
  <si>
    <t xml:space="preserve">Net Book Value</t>
  </si>
  <si>
    <t xml:space="preserve">Goodwill</t>
  </si>
  <si>
    <t xml:space="preserve">Amortized Life (years)</t>
  </si>
  <si>
    <t xml:space="preserve">Goodwill Amortization Per Year</t>
  </si>
  <si>
    <t xml:space="preserve">TOTAL PPE</t>
  </si>
  <si>
    <t xml:space="preserve">Tax effect of selling T &amp; D</t>
  </si>
  <si>
    <t xml:space="preserve">Total PPE T&amp;D</t>
  </si>
  <si>
    <t xml:space="preserve">basis</t>
  </si>
  <si>
    <t xml:space="preserve">Sell for:</t>
  </si>
  <si>
    <t xml:space="preserve">Cap Gain</t>
  </si>
  <si>
    <t xml:space="preserve">.35 tax</t>
  </si>
  <si>
    <t xml:space="preserve">Trading Comps for IOUs</t>
  </si>
  <si>
    <t xml:space="preserve">Transaction Comps for IOUs</t>
  </si>
  <si>
    <t xml:space="preserve">Price/Net Income</t>
  </si>
  <si>
    <t xml:space="preserve">Reference</t>
  </si>
  <si>
    <t xml:space="preserve">Range</t>
  </si>
  <si>
    <t xml:space="preserve">1999E</t>
  </si>
  <si>
    <t xml:space="preserve">Book Value</t>
  </si>
  <si>
    <t xml:space="preserve">Firm Value/EBITDA</t>
  </si>
  <si>
    <t xml:space="preserve">Transaction Comps for LDCs</t>
  </si>
  <si>
    <t xml:space="preserve">Midwest</t>
  </si>
  <si>
    <t xml:space="preserve">Date</t>
  </si>
  <si>
    <t xml:space="preserve">Deal</t>
  </si>
  <si>
    <t xml:space="preserve">Price $/kw</t>
  </si>
  <si>
    <t xml:space="preserve">Production $/MW</t>
  </si>
  <si>
    <t xml:space="preserve">Cap Factor</t>
  </si>
  <si>
    <t xml:space="preserve">SO2 LBS/MWH</t>
  </si>
  <si>
    <t xml:space="preserve">NOX LBS/MWH</t>
  </si>
  <si>
    <t xml:space="preserve">ADJ SO2+NOX</t>
  </si>
  <si>
    <t xml:space="preserve">ADJ NO.</t>
  </si>
  <si>
    <t xml:space="preserve">Duquesne Deal</t>
  </si>
  <si>
    <t xml:space="preserve">Big Cajun: Cajun to Louisiana Gen</t>
  </si>
  <si>
    <t xml:space="preserve">Unicom Deal to Edison Mission</t>
  </si>
  <si>
    <t xml:space="preserve">KINCAID STATION</t>
  </si>
  <si>
    <t xml:space="preserve">Stateline</t>
  </si>
  <si>
    <t xml:space="preserve">Northeast</t>
  </si>
  <si>
    <t xml:space="preserve">NORTHEAST UTILITIES TO NRG</t>
  </si>
  <si>
    <t xml:space="preserve">PP&amp;L RESOURCES TO WPS POWER DEVEL</t>
  </si>
  <si>
    <t xml:space="preserve">NIMO/RGE TO NRG</t>
  </si>
  <si>
    <t xml:space="preserve">CONED TO ORION</t>
  </si>
  <si>
    <t xml:space="preserve">CONED TO NRG</t>
  </si>
  <si>
    <t xml:space="preserve">CONED TO KEYSPAN</t>
  </si>
  <si>
    <t xml:space="preserve">NIMO TO NRG</t>
  </si>
  <si>
    <t xml:space="preserve">SOUTHERN PURCHASE OF CONED/O&amp;R PLANTS</t>
  </si>
  <si>
    <t xml:space="preserve">GPU DEAL WITH SITHE</t>
  </si>
  <si>
    <t xml:space="preserve">Homer City to Edison Mission</t>
  </si>
  <si>
    <t xml:space="preserve">Canal #2 Eastern Utilities to Southern</t>
  </si>
  <si>
    <t xml:space="preserve">SO2 Price Assumption $/Ton</t>
  </si>
  <si>
    <t xml:space="preserve">NOX Price Assumption $/Ton</t>
  </si>
  <si>
    <t xml:space="preserve">Retail</t>
  </si>
  <si>
    <t xml:space="preserve">Total Revenues</t>
  </si>
  <si>
    <t xml:space="preserve">Week Ending</t>
  </si>
  <si>
    <t xml:space="preserve">DJ Utilities Index</t>
  </si>
  <si>
    <t xml:space="preserve">DJ Utilities</t>
  </si>
  <si>
    <t xml:space="preserve">Financials</t>
  </si>
  <si>
    <t xml:space="preserve">Cincinnati Gas &amp; Electric</t>
  </si>
  <si>
    <t xml:space="preserve">PSI Energy Inc</t>
  </si>
  <si>
    <t xml:space="preserve">Growth</t>
  </si>
  <si>
    <t xml:space="preserve">Pro Forma</t>
  </si>
  <si>
    <t xml:space="preserve">1st 9 Mo. 1999</t>
  </si>
  <si>
    <t xml:space="preserve">1st 6 Mo. 1998</t>
  </si>
  <si>
    <t xml:space="preserve">Rate</t>
  </si>
  <si>
    <t xml:space="preserve">1st 6 Mo. 1999</t>
  </si>
  <si>
    <t xml:space="preserve">Adjustment</t>
  </si>
  <si>
    <t xml:space="preserve">`</t>
  </si>
  <si>
    <t xml:space="preserve">Electric Revenues </t>
  </si>
  <si>
    <t xml:space="preserve">Residential</t>
  </si>
  <si>
    <t xml:space="preserve">Comercial</t>
  </si>
  <si>
    <t xml:space="preserve">Industrial</t>
  </si>
  <si>
    <t xml:space="preserve">Pub Str &amp; Hwy Lt Rev $</t>
  </si>
  <si>
    <t xml:space="preserve">Public Authority Rev $</t>
  </si>
  <si>
    <t xml:space="preserve">Interdepartmental Rev $</t>
  </si>
  <si>
    <t xml:space="preserve">Retail Revenues</t>
  </si>
  <si>
    <t xml:space="preserve">Wholesale sales</t>
  </si>
  <si>
    <t xml:space="preserve">Provision for rate refund</t>
  </si>
  <si>
    <t xml:space="preserve">Other</t>
  </si>
  <si>
    <t xml:space="preserve">Total wholesale &amp; other</t>
  </si>
  <si>
    <t xml:space="preserve">RDI total Electric rev</t>
  </si>
  <si>
    <t xml:space="preserve">Fudge Factor</t>
  </si>
  <si>
    <t xml:space="preserve">Total electric revenues</t>
  </si>
  <si>
    <t xml:space="preserve">Electric Operations (Thousands MWH)</t>
  </si>
  <si>
    <t xml:space="preserve">Commercial</t>
  </si>
  <si>
    <t xml:space="preserve">Pub Str &amp; Hwy Lt MWh</t>
  </si>
  <si>
    <t xml:space="preserve">Public Authority MWh</t>
  </si>
  <si>
    <t xml:space="preserve">Interdepartmental MWh</t>
  </si>
  <si>
    <t xml:space="preserve">Rate Refund</t>
  </si>
  <si>
    <t xml:space="preserve">Total to ultimate customer</t>
  </si>
  <si>
    <t xml:space="preserve">Implied Electric Pricing ($/MWH) (a)</t>
  </si>
  <si>
    <t xml:space="preserve">Surcredit (50% of non-fuel merger savings)</t>
  </si>
  <si>
    <t xml:space="preserve">Surcredit</t>
  </si>
  <si>
    <t xml:space="preserve">Pub Str &amp; Hwy</t>
  </si>
  <si>
    <t xml:space="preserve">Public authorities</t>
  </si>
  <si>
    <t xml:space="preserve">Interdepartmental Rev</t>
  </si>
  <si>
    <t xml:space="preserve">(a) Assumed $10 MM across the board in 1999 rate reductions from 1998 levels and $6 MM in 2000, $5 MM each in 1999 and $3 MM each in 2000.</t>
  </si>
  <si>
    <t xml:space="preserve">Gas Revenues</t>
  </si>
  <si>
    <t xml:space="preserve">RDI Gas Rev</t>
  </si>
  <si>
    <t xml:space="preserve">Total gas revenues</t>
  </si>
  <si>
    <t xml:space="preserve">(a) Assumed $20 MM in 1999 rate reductions from 1998 levels and $8 MM for the next four years.</t>
  </si>
  <si>
    <t xml:space="preserve">Cost of Goods Sold</t>
  </si>
  <si>
    <t xml:space="preserve">Fuel for electric generation</t>
  </si>
  <si>
    <t xml:space="preserve">Power purchased</t>
  </si>
  <si>
    <t xml:space="preserve">Gas supply expenses</t>
  </si>
  <si>
    <t xml:space="preserve">22.184/yr</t>
  </si>
  <si>
    <t xml:space="preserve">Maintenance</t>
  </si>
  <si>
    <t xml:space="preserve">DD&amp;A</t>
  </si>
  <si>
    <t xml:space="preserve">% allocation</t>
  </si>
  <si>
    <t xml:space="preserve">Property &amp; Other Taxes</t>
  </si>
  <si>
    <t xml:space="preserve">Equity In Joint Ventures</t>
  </si>
  <si>
    <t xml:space="preserve">IPP (a)</t>
  </si>
  <si>
    <t xml:space="preserve">Argentina gas distribution</t>
  </si>
  <si>
    <t xml:space="preserve">Interest Charges</t>
  </si>
  <si>
    <t xml:space="preserve">Other Income/Losses</t>
  </si>
  <si>
    <t xml:space="preserve">Pre-Tax Income</t>
  </si>
  <si>
    <t xml:space="preserve">Income Taxes--Federal</t>
  </si>
  <si>
    <t xml:space="preserve">Net Income Before Non-Recurring Items</t>
  </si>
  <si>
    <t xml:space="preserve">Unusual Items</t>
  </si>
  <si>
    <t xml:space="preserve">Provision for Rate Refunds</t>
  </si>
  <si>
    <t xml:space="preserve">Merger Costs to Achieve and Non-Recurring Charges</t>
  </si>
  <si>
    <t xml:space="preserve">Loss from Discontinued Ops</t>
  </si>
  <si>
    <t xml:space="preserve">Loss on Disposal of Discontinued Ops</t>
  </si>
  <si>
    <t xml:space="preserve">Cumilative Effect of Acct Change</t>
  </si>
  <si>
    <t xml:space="preserve">Preferred Dividends</t>
  </si>
  <si>
    <t xml:space="preserve">Preferred Stock buy back</t>
  </si>
  <si>
    <t xml:space="preserve">Net Income to Common</t>
  </si>
  <si>
    <t xml:space="preserve">check:</t>
  </si>
  <si>
    <t xml:space="preserve">Average number of shares</t>
  </si>
  <si>
    <t xml:space="preserve">Analysts Estimates</t>
  </si>
  <si>
    <t xml:space="preserve">Capitalization</t>
  </si>
  <si>
    <t xml:space="preserve">Short Term Debt</t>
  </si>
  <si>
    <t xml:space="preserve">1 year debt</t>
  </si>
  <si>
    <t xml:space="preserve">Long Term Debt Subsidiary</t>
  </si>
  <si>
    <t xml:space="preserve">Total Debt</t>
  </si>
  <si>
    <t xml:space="preserve">notes pay</t>
  </si>
  <si>
    <t xml:space="preserve">Minority Interest</t>
  </si>
  <si>
    <t xml:space="preserve">Preferred Stock</t>
  </si>
  <si>
    <t xml:space="preserve">Total Debt &amp; Preferred</t>
  </si>
  <si>
    <t xml:space="preserve">Implied Share Price</t>
  </si>
  <si>
    <t xml:space="preserve">Premium/Discount</t>
  </si>
  <si>
    <t xml:space="preserve">Current Enterprise Value</t>
  </si>
  <si>
    <t xml:space="preserve">Current Trading Multiple on LTM EBITDA</t>
  </si>
  <si>
    <t xml:space="preserve">(a)  The 247% increase in equity in ventures in 1998 to $71.3 mln was primarily due to the closure of the MRA transaction with NIMO and an arbitration award receibed by the Frederickson, </t>
  </si>
  <si>
    <t xml:space="preserve">Washington, venture partially offset by a write-off of the Company's investment in the WPP 94 venture.</t>
  </si>
  <si>
    <t xml:space="preserve">MANAGEMENT TEAM &amp; TOP HOLDERS</t>
  </si>
  <si>
    <t xml:space="preserve">TOP 10 INSTITUTIONAL HOLDER          </t>
  </si>
  <si>
    <t xml:space="preserve">SHARES (MM)</t>
  </si>
  <si>
    <t xml:space="preserve">VALUE ($MM)</t>
  </si>
  <si>
    <t xml:space="preserve">Vanguard/Wellington Fund Inc.</t>
  </si>
  <si>
    <t xml:space="preserve"> Prudential Utility Fund, Inc.</t>
  </si>
  <si>
    <t xml:space="preserve"> Scudder Growth and Income Fund</t>
  </si>
  <si>
    <t xml:space="preserve"> Franklin Custodian Funds (Income Series)</t>
  </si>
  <si>
    <t xml:space="preserve"> AARP Growth and Income Fund</t>
  </si>
  <si>
    <t xml:space="preserve"> College Retirement Equities Fund-Stock Account</t>
  </si>
  <si>
    <t xml:space="preserve"> Franklin Custodian Funds (Utilities Series)</t>
  </si>
  <si>
    <t xml:space="preserve"> Washington Mutual Investors Fund</t>
  </si>
  <si>
    <t xml:space="preserve"> Merrill Lynch Basic Value Fund</t>
  </si>
  <si>
    <t xml:space="preserve"> Vanguard Index 500 Fund</t>
  </si>
  <si>
    <t xml:space="preserve">LG&amp;E Trading Comparables</t>
  </si>
  <si>
    <t xml:space="preserve">5-Year</t>
  </si>
  <si>
    <t xml:space="preserve">3-Year</t>
  </si>
  <si>
    <t xml:space="preserve">Stock</t>
  </si>
  <si>
    <t xml:space="preserve">Firm</t>
  </si>
  <si>
    <t xml:space="preserve">ROE</t>
  </si>
  <si>
    <t xml:space="preserve">Hist EPS</t>
  </si>
  <si>
    <t xml:space="preserve">Company</t>
  </si>
  <si>
    <t xml:space="preserve">Yield</t>
  </si>
  <si>
    <t xml:space="preserve">Payout</t>
  </si>
  <si>
    <t xml:space="preserve">Allegheny(AYE)</t>
  </si>
  <si>
    <t xml:space="preserve">NA</t>
  </si>
  <si>
    <t xml:space="preserve">Ameren (AEE)</t>
  </si>
  <si>
    <t xml:space="preserve">Constellation Energy (CEG)</t>
  </si>
  <si>
    <t xml:space="preserve">DPL Inc. (DPL)</t>
  </si>
  <si>
    <t xml:space="preserve">DTE Energy Company (DTE)</t>
  </si>
  <si>
    <t xml:space="preserve">PP&amp;L Resources (PPL)</t>
  </si>
  <si>
    <t xml:space="preserve">Wisconsin Energy Corporation (WEC)</t>
  </si>
  <si>
    <t xml:space="preserve">NM</t>
  </si>
  <si>
    <t xml:space="preserve">Mean</t>
  </si>
  <si>
    <t xml:space="preserve">LG&amp;E Energy (LGE)</t>
  </si>
  <si>
    <t xml:space="preserve">Announced/</t>
  </si>
  <si>
    <t xml:space="preserve">Target/</t>
  </si>
  <si>
    <t xml:space="preserve">Firm </t>
  </si>
  <si>
    <t xml:space="preserve">Net </t>
  </si>
  <si>
    <t xml:space="preserve">Premium/Mkt Price</t>
  </si>
  <si>
    <t xml:space="preserve">(Completed)</t>
  </si>
  <si>
    <t xml:space="preserve">Acquirer</t>
  </si>
  <si>
    <t xml:space="preserve">FY+1</t>
  </si>
  <si>
    <t xml:space="preserve">FY+2</t>
  </si>
  <si>
    <t xml:space="preserve">Customer</t>
  </si>
  <si>
    <t xml:space="preserve">Plant</t>
  </si>
  <si>
    <t xml:space="preserve">1-day</t>
  </si>
  <si>
    <t xml:space="preserve">5-day </t>
  </si>
  <si>
    <t xml:space="preserve">1-month</t>
  </si>
  <si>
    <t xml:space="preserve">Cogeneration Corp. of America/</t>
  </si>
  <si>
    <t xml:space="preserve">(Pending)</t>
  </si>
  <si>
    <t xml:space="preserve">Calpine Corp.</t>
  </si>
  <si>
    <t xml:space="preserve">Florida Progress/</t>
  </si>
  <si>
    <t xml:space="preserve">Carolina Power &amp; Light</t>
  </si>
  <si>
    <t xml:space="preserve">CMP Group/</t>
  </si>
  <si>
    <t xml:space="preserve">Energy East</t>
  </si>
  <si>
    <t xml:space="preserve">Illinova/</t>
  </si>
  <si>
    <t xml:space="preserve">Dynegy</t>
  </si>
  <si>
    <t xml:space="preserve">SIGCORP/</t>
  </si>
  <si>
    <t xml:space="preserve">Indiana Energy</t>
  </si>
  <si>
    <t xml:space="preserve">Cinergy</t>
  </si>
  <si>
    <t xml:space="preserve">BV per share</t>
  </si>
  <si>
    <t xml:space="preserve">Price/BV</t>
  </si>
  <si>
    <t xml:space="preserve">EV/EBIT</t>
  </si>
  <si>
    <t xml:space="preserve">Investor Owned Utilities</t>
  </si>
  <si>
    <t xml:space="preserve">Wisconsin Energy Corp.</t>
  </si>
  <si>
    <t xml:space="preserve">WEC</t>
  </si>
  <si>
    <t xml:space="preserve">Generation DCF Summary</t>
  </si>
  <si>
    <t xml:space="preserve">Business Segments Asset Value</t>
  </si>
  <si>
    <t xml:space="preserve">Generation </t>
  </si>
  <si>
    <t xml:space="preserve">(w/ 7.5% to 9.5% WACC and 7.0x to 9.0x terminal EBITDA)</t>
  </si>
  <si>
    <t xml:space="preserve">Distribution</t>
  </si>
  <si>
    <t xml:space="preserve">CGE GAS</t>
  </si>
  <si>
    <t xml:space="preserve">Total value</t>
  </si>
  <si>
    <t xml:space="preserve">Net debt (Corp. Adjustments)</t>
  </si>
  <si>
    <t xml:space="preserve">Tax Implications (3)</t>
  </si>
  <si>
    <t xml:space="preserve">(1) 10-K</t>
  </si>
  <si>
    <t xml:space="preserve">(2) 10-K and 10-Q</t>
  </si>
  <si>
    <t xml:space="preserve">(3) Tax implications involve selling everyting but the genco as assets, and selling the genco as a company</t>
  </si>
  <si>
    <t xml:space="preserve">Generation DCF Assumptions</t>
  </si>
  <si>
    <t xml:space="preserve">CapEx</t>
  </si>
  <si>
    <t xml:space="preserve">million per annum</t>
  </si>
  <si>
    <t xml:space="preserve">CapEx Growth Rate</t>
  </si>
  <si>
    <t xml:space="preserve">/per annum</t>
  </si>
  <si>
    <t xml:space="preserve">Energy Pricing</t>
  </si>
  <si>
    <t xml:space="preserve">/MWh. (year 2000)</t>
  </si>
  <si>
    <t xml:space="preserve">Energy Price growth rate</t>
  </si>
  <si>
    <t xml:space="preserve">Weighted average capacity factor</t>
  </si>
  <si>
    <t xml:space="preserve">Fuel Expense Growth Rate</t>
  </si>
  <si>
    <t xml:space="preserve">Non-Fuel O&amp;M expense</t>
  </si>
  <si>
    <t xml:space="preserve">/ per annum</t>
  </si>
  <si>
    <t xml:space="preserve">Terminal convention</t>
  </si>
  <si>
    <t xml:space="preserve">WACC</t>
  </si>
  <si>
    <t xml:space="preserve">7.5% to 9.5%</t>
  </si>
  <si>
    <t xml:space="preserve">Tax </t>
  </si>
  <si>
    <t xml:space="preserve">$ in Million except Energy Price and Generation</t>
  </si>
  <si>
    <t xml:space="preserve">Energy Price</t>
  </si>
  <si>
    <t xml:space="preserve">Generation</t>
  </si>
  <si>
    <t xml:space="preserve">  Total Revenues</t>
  </si>
  <si>
    <t xml:space="preserve">Expenses</t>
  </si>
  <si>
    <t xml:space="preserve">Fuel Expense</t>
  </si>
  <si>
    <t xml:space="preserve">Non-fuel Expense</t>
  </si>
  <si>
    <t xml:space="preserve">  Total Expenses</t>
  </si>
  <si>
    <t xml:space="preserve">Capital Expenditures</t>
  </si>
  <si>
    <t xml:space="preserve">Pretax Free Cash flow</t>
  </si>
  <si>
    <t xml:space="preserve">   Unlevered Free Cash Flow</t>
  </si>
  <si>
    <t xml:space="preserve">Firm Value</t>
  </si>
  <si>
    <t xml:space="preserve">Terminal EBITDA Multiple Range</t>
  </si>
  <si>
    <t xml:space="preserve">Segment Breakout</t>
  </si>
  <si>
    <t xml:space="preserve">Costs</t>
  </si>
  <si>
    <t xml:space="preserve">% of </t>
  </si>
  <si>
    <t xml:space="preserve">(In $millions)</t>
  </si>
  <si>
    <t xml:space="preserve">Commodity Trading &amp; Processing</t>
  </si>
  <si>
    <t xml:space="preserve">Industrial </t>
  </si>
  <si>
    <t xml:space="preserve">Financial</t>
  </si>
  <si>
    <t xml:space="preserve">Corporate and discontinued operations</t>
  </si>
  <si>
    <t xml:space="preserve">CONSOLIDATED</t>
  </si>
  <si>
    <t xml:space="preserve">*For nine months</t>
  </si>
  <si>
    <t xml:space="preserve">Source: 10Q dated 09/30/99</t>
  </si>
</sst>
</file>

<file path=xl/styles.xml><?xml version="1.0" encoding="utf-8"?>
<styleSheet xmlns="http://schemas.openxmlformats.org/spreadsheetml/2006/main">
  <numFmts count="46">
    <numFmt numFmtId="164" formatCode="General"/>
    <numFmt numFmtId="165" formatCode="#,##0.0"/>
    <numFmt numFmtId="166" formatCode="0%"/>
    <numFmt numFmtId="167" formatCode="0.0%"/>
    <numFmt numFmtId="168" formatCode="\$#,##0.0"/>
    <numFmt numFmtId="169" formatCode="\$#,##0.00_);&quot;($&quot;#,##0.00\)"/>
    <numFmt numFmtId="170" formatCode="\$#,##0_);&quot;($&quot;#,##0\)"/>
    <numFmt numFmtId="171" formatCode="_(* #,##0.00_);_(* \(#,##0.00\);_(* \-??_);_(@_)"/>
    <numFmt numFmtId="172" formatCode="_(* #,##0_);_(* \(#,##0\);_(* \-??_);_(@_)"/>
    <numFmt numFmtId="173" formatCode="0.00%"/>
    <numFmt numFmtId="174" formatCode="_(\$* #,##0.00_);_(\$* \(#,##0.00\);_(\$* \-??_);_(@_)"/>
    <numFmt numFmtId="175" formatCode="\$#,##0.0_);&quot;($&quot;#,##0.0\)"/>
    <numFmt numFmtId="176" formatCode="_(* #,##0.0_);_(* \(#,##0.0\);_(* \-??_);_(@_)"/>
    <numFmt numFmtId="177" formatCode="0.0\x"/>
    <numFmt numFmtId="178" formatCode="_(* #,##0_);_(* \(#,##0\);_(* \-_);_(@_)"/>
    <numFmt numFmtId="179" formatCode="_(\$* #,##0.0_);_(\$* \(#,##0.0\);_(\$* \-??_);_(@_)"/>
    <numFmt numFmtId="180" formatCode="_(\$* #,##0_);_(\$* \(#,##0\);_(\$* \-??_);_(@_)"/>
    <numFmt numFmtId="181" formatCode="0"/>
    <numFmt numFmtId="182" formatCode="_(* #,##0_);_(* \(#,##0\);_(* \-?_);_(@_)"/>
    <numFmt numFmtId="183" formatCode="\$#,##0"/>
    <numFmt numFmtId="184" formatCode="_(\$* #,##0.0_);_(\$* \(#,##0.0\);_(\$* \-?_);_(@_)"/>
    <numFmt numFmtId="185" formatCode="0.00\x"/>
    <numFmt numFmtId="186" formatCode="_(* #,##0.0_);_(* \(#,##0.0\);_(* \-?_);_(@_)"/>
    <numFmt numFmtId="187" formatCode="0.0"/>
    <numFmt numFmtId="188" formatCode="[$-409]m/d/yyyy"/>
    <numFmt numFmtId="189" formatCode="\$#,##0.00"/>
    <numFmt numFmtId="190" formatCode="0.00"/>
    <numFmt numFmtId="191" formatCode="\$#,##0.0_);[RED]&quot;($&quot;#,##0.0\)"/>
    <numFmt numFmtId="192" formatCode="\$#,##0.00_);[RED]&quot;($&quot;#,##0.00\)"/>
    <numFmt numFmtId="193" formatCode="\$#,##0_);[RED]&quot;($&quot;#,##0\)"/>
    <numFmt numFmtId="194" formatCode="0.0&quot; x&quot;"/>
    <numFmt numFmtId="195" formatCode="@"/>
    <numFmt numFmtId="196" formatCode="#,##0.0;[RED]\(#,##0.0\)"/>
    <numFmt numFmtId="197" formatCode="#,##0;[RED]\(#,##0\)"/>
    <numFmt numFmtId="198" formatCode="\$#,##0;[RED]&quot;$(&quot;#,##0\)"/>
    <numFmt numFmtId="199" formatCode="_(* #,##0.0000_);_(* \(#,##0.0000\);_(* \-????_);_(@_)"/>
    <numFmt numFmtId="200" formatCode="#,##0.00;[RED]\(#,##0.00\)"/>
    <numFmt numFmtId="201" formatCode="_(\$* #,##0.000_);_(\$* \(#,##0.000\);_(\$* \-??_);_(@_)"/>
    <numFmt numFmtId="202" formatCode="_(* #,##0.0000_);_(* \(#,##0.0000\);_(* \-??_);_(@_)"/>
    <numFmt numFmtId="203" formatCode="\$#,##0.000_);&quot;($&quot;#,##0.000\)"/>
    <numFmt numFmtId="204" formatCode="_(* #,##0.000_);_(* \(#,##0.000\);_(* \-??_);_(@_)"/>
    <numFmt numFmtId="205" formatCode="_(* #,##0.00_);_(* \(#,##0.00\);_(* \-_);_(@_)"/>
    <numFmt numFmtId="206" formatCode="[$-409]d\-mmm\-yy"/>
    <numFmt numFmtId="207" formatCode="_(* #,##0.000_);_(* \(#,##0.000\);_(* \-?_);_(@_)"/>
    <numFmt numFmtId="208" formatCode="#,##0.00"/>
    <numFmt numFmtId="209" formatCode="#,##0"/>
  </numFmts>
  <fonts count="7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9"/>
      <name val="Arial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sz val="8"/>
      <name val="Times New Roman"/>
      <family val="1"/>
    </font>
    <font>
      <b val="true"/>
      <u val="single"/>
      <sz val="8"/>
      <name val="Times New Roman"/>
      <family val="1"/>
    </font>
    <font>
      <sz val="8"/>
      <name val="Times New Roman"/>
      <family val="1"/>
    </font>
    <font>
      <i val="true"/>
      <sz val="10"/>
      <name val="Times New Roman"/>
      <family val="1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sz val="12"/>
      <name val="Times New Roman"/>
      <family val="1"/>
    </font>
    <font>
      <sz val="12"/>
      <name val="Times New Roman"/>
      <family val="1"/>
    </font>
    <font>
      <sz val="10"/>
      <color rgb="FF0000FF"/>
      <name val="Times New Roman"/>
      <family val="1"/>
    </font>
    <font>
      <vertAlign val="superscript"/>
      <sz val="10"/>
      <name val="Times New Roman"/>
      <family val="1"/>
    </font>
    <font>
      <b val="true"/>
      <sz val="10"/>
      <color rgb="FF0000FF"/>
      <name val="Times New Roman"/>
      <family val="1"/>
    </font>
    <font>
      <u val="single"/>
      <sz val="10"/>
      <name val="Times New Roman"/>
      <family val="1"/>
    </font>
    <font>
      <i val="true"/>
      <u val="single"/>
      <sz val="10"/>
      <name val="Times New Roman"/>
      <family val="1"/>
    </font>
    <font>
      <u val="single"/>
      <sz val="11"/>
      <name val="Times New Roman"/>
      <family val="1"/>
    </font>
    <font>
      <b val="true"/>
      <sz val="18"/>
      <name val="Times New Roman"/>
      <family val="1"/>
    </font>
    <font>
      <b val="true"/>
      <vertAlign val="superscript"/>
      <sz val="8"/>
      <name val="Times New Roman"/>
      <family val="1"/>
    </font>
    <font>
      <sz val="9"/>
      <name val="Times New Roman"/>
      <family val="1"/>
    </font>
    <font>
      <b val="true"/>
      <u val="single"/>
      <vertAlign val="superscript"/>
      <sz val="10"/>
      <name val="Times New Roman"/>
      <family val="1"/>
    </font>
    <font>
      <sz val="10"/>
      <color rgb="FFFFFFFF"/>
      <name val="Times New Roman"/>
      <family val="1"/>
    </font>
    <font>
      <b val="true"/>
      <sz val="15"/>
      <name val="Times New Roman"/>
      <family val="1"/>
    </font>
    <font>
      <b val="true"/>
      <vertAlign val="superscript"/>
      <sz val="15"/>
      <name val="Times New Roman"/>
      <family val="1"/>
    </font>
    <font>
      <sz val="14"/>
      <name val="Times New Roman"/>
      <family val="1"/>
    </font>
    <font>
      <i val="true"/>
      <sz val="15"/>
      <name val="Times New Roman"/>
      <family val="1"/>
    </font>
    <font>
      <b val="true"/>
      <sz val="13"/>
      <name val="Times New Roman"/>
      <family val="1"/>
    </font>
    <font>
      <b val="true"/>
      <u val="single"/>
      <sz val="12"/>
      <name val="Times New Roman"/>
      <family val="1"/>
    </font>
    <font>
      <i val="true"/>
      <sz val="18"/>
      <name val="Times New Roman"/>
      <family val="1"/>
    </font>
    <font>
      <b val="true"/>
      <vertAlign val="superscript"/>
      <sz val="10"/>
      <name val="Times New Roman"/>
      <family val="1"/>
    </font>
    <font>
      <b val="true"/>
      <sz val="10"/>
      <name val="Arial"/>
      <family val="0"/>
    </font>
    <font>
      <u val="single"/>
      <sz val="10"/>
      <color rgb="FF0000FF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u val="single"/>
      <sz val="12"/>
      <name val="Arial"/>
      <family val="2"/>
    </font>
    <font>
      <b val="true"/>
      <u val="single"/>
      <sz val="12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2"/>
      <color rgb="FF0000FF"/>
      <name val="Arial"/>
      <family val="2"/>
    </font>
    <font>
      <b val="true"/>
      <sz val="13"/>
      <name val="Arial"/>
      <family val="2"/>
    </font>
    <font>
      <b val="true"/>
      <u val="single"/>
      <sz val="11"/>
      <name val="Arial"/>
      <family val="2"/>
    </font>
    <font>
      <sz val="11"/>
      <name val="Arial"/>
      <family val="2"/>
    </font>
    <font>
      <b val="true"/>
      <sz val="16"/>
      <name val="Arial"/>
      <family val="2"/>
    </font>
    <font>
      <i val="true"/>
      <sz val="12"/>
      <name val="Arial"/>
      <family val="2"/>
    </font>
    <font>
      <b val="true"/>
      <sz val="11"/>
      <name val="Arial"/>
      <family val="2"/>
    </font>
    <font>
      <vertAlign val="superscript"/>
      <sz val="11"/>
      <name val="Arial"/>
      <family val="2"/>
    </font>
    <font>
      <sz val="11"/>
      <color rgb="FF0000FF"/>
      <name val="Arial"/>
      <family val="2"/>
    </font>
    <font>
      <b val="true"/>
      <sz val="11"/>
      <color rgb="FF0000FF"/>
      <name val="Arial"/>
      <family val="2"/>
    </font>
    <font>
      <sz val="11"/>
      <color rgb="FF000000"/>
      <name val="Arial"/>
      <family val="2"/>
    </font>
    <font>
      <i val="true"/>
      <sz val="11"/>
      <name val="Arial"/>
      <family val="2"/>
    </font>
    <font>
      <b val="true"/>
      <sz val="10"/>
      <color rgb="FF0000FF"/>
      <name val="Arial"/>
      <family val="2"/>
    </font>
    <font>
      <sz val="10"/>
      <color rgb="FF3333CC"/>
      <name val="Arial"/>
      <family val="2"/>
    </font>
    <font>
      <sz val="8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.5"/>
      <name val="Arial"/>
      <family val="2"/>
    </font>
    <font>
      <sz val="10"/>
      <name val="Book Antiqua"/>
      <family val="1"/>
    </font>
    <font>
      <b val="true"/>
      <sz val="10"/>
      <name val="Book Antiqua"/>
      <family val="0"/>
    </font>
    <font>
      <b val="true"/>
      <sz val="10"/>
      <name val="Book Antiqua"/>
      <family val="1"/>
    </font>
    <font>
      <b val="true"/>
      <sz val="8"/>
      <name val="Arial"/>
      <family val="2"/>
    </font>
    <font>
      <i val="true"/>
      <sz val="8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8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8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6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6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6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2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2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9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27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2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9" fillId="2" borderId="1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2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9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6" fillId="2" borderId="1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6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2" borderId="1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36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0" xfId="36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2" borderId="0" xfId="3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36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9" fillId="2" borderId="0" xfId="36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36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8" fillId="2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0" xfId="36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8" fillId="2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0" xfId="3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9" fillId="2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0" xfId="36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9" fillId="2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0" xfId="3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2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0" xfId="3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36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3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36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0" xfId="36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" fillId="2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4" fillId="2" borderId="0" xfId="3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2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4" fillId="2" borderId="0" xfId="3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36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0" xfId="3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2" borderId="18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8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4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2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4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45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3" fontId="4" fillId="0" borderId="18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34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4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34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2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9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2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6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95" fontId="1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95" fontId="4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4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9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9" fontId="17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90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86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0" fontId="18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0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80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86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23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7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8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5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1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7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7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7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7" fillId="2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8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7" fillId="2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7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7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8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4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5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1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2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5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5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54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5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1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5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6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7" fontId="5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5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5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4" fillId="2" borderId="0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5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7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7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2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5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5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6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4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5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9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9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0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20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7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9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4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3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6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1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3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9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9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9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8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37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88" fontId="0" fillId="0" borderId="0" xfId="3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7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4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1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1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6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6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4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4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6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6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6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9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4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4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4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7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6" fillId="2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1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7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7" fillId="2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UK MODEL.xls Chart 2" xfId="20"/>
    <cellStyle name="Comma [0]_DUK MODEL.xls Chart 3" xfId="21"/>
    <cellStyle name="Comma [0]_westcoast" xfId="22"/>
    <cellStyle name="Comma_DUK MODEL.xls Chart 2" xfId="23"/>
    <cellStyle name="Comma_DUK MODEL.xls Chart 3" xfId="24"/>
    <cellStyle name="Comma_westcoast" xfId="25"/>
    <cellStyle name="Currency [0]_DUK MODEL.xls Chart 2" xfId="26"/>
    <cellStyle name="Currency [0]_DUK MODEL.xls Chart 3" xfId="27"/>
    <cellStyle name="Currency [0]_westcoast" xfId="28"/>
    <cellStyle name="Currency_DUK MODEL.xls Chart 2" xfId="29"/>
    <cellStyle name="Currency_DUK MODEL.xls Chart 3" xfId="30"/>
    <cellStyle name="Currency_westcoast" xfId="31"/>
    <cellStyle name="Normal_Ameren valuation7" xfId="32"/>
    <cellStyle name="Normal_AmerenValuation9" xfId="33"/>
    <cellStyle name="Normal_Arrow" xfId="34"/>
    <cellStyle name="Normal_Arrow ValuationNew" xfId="35"/>
    <cellStyle name="Normal_Asset info" xfId="36"/>
    <cellStyle name="Normal_CIN stockprice" xfId="37"/>
    <cellStyle name="Normal_Cinergy1" xfId="38"/>
    <cellStyle name="Normal_Cinergy5.xls Chart 1" xfId="39"/>
    <cellStyle name="Normal_cinergy7" xfId="40"/>
    <cellStyle name="Normal_earnings.Searcher" xfId="41"/>
    <cellStyle name="Normal_ENE_EPS estimate" xfId="42"/>
    <cellStyle name="Normal_Sheet1" xfId="43"/>
    <cellStyle name="Normal_V0B0CR7J" xfId="44"/>
    <cellStyle name="Normal_WE_final" xfId="45"/>
    <cellStyle name="Normal_Westcoast" xfId="46"/>
    <cellStyle name="Normal_westcoast_PowerInfo" xfId="47"/>
    <cellStyle name="Normal_~0051456" xfId="48"/>
    <cellStyle name="Percent_DUK MODEL.xls Chart 2" xfId="49"/>
    <cellStyle name="Percent_DUK MODEL.xls Chart 3" xfId="50"/>
    <cellStyle name="Percent_westcoast" xfId="5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externalLink" Target="externalLinks/externalLink1.xml"/><Relationship Id="rId3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CIN vs DowJones Elec. Utility Index</a:t>
            </a:r>
          </a:p>
        </c:rich>
      </c:tx>
      <c:layout>
        <c:manualLayout>
          <c:xMode val="edge"/>
          <c:yMode val="edge"/>
          <c:x val="0.286821066512816"/>
          <c:y val="0.043936731107205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7604879254925"/>
          <c:y val="0.0439367311072056"/>
          <c:w val="0.848512321767082"/>
          <c:h val="0.956063268892794"/>
        </c:manualLayout>
      </c:layout>
      <c:lineChart>
        <c:grouping val="standard"/>
        <c:varyColors val="0"/>
        <c:ser>
          <c:idx val="0"/>
          <c:order val="0"/>
          <c:tx>
            <c:strRef>
              <c:f>'Stock Data'!$C$1</c:f>
              <c:strCache>
                <c:ptCount val="1"/>
                <c:pt idx="0">
                  <c:v>DJ Utilities Index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'Stock Data'!$A$2:$A$510</c:f>
              <c:strCache>
                <c:ptCount val="509"/>
                <c:pt idx="0">
                  <c:v>3/2/1998</c:v>
                </c:pt>
                <c:pt idx="1">
                  <c:v>3/3/1998</c:v>
                </c:pt>
                <c:pt idx="2">
                  <c:v>3/4/1998</c:v>
                </c:pt>
                <c:pt idx="3">
                  <c:v>3/5/1998</c:v>
                </c:pt>
                <c:pt idx="4">
                  <c:v>3/6/1998</c:v>
                </c:pt>
                <c:pt idx="5">
                  <c:v>3/9/1998</c:v>
                </c:pt>
                <c:pt idx="6">
                  <c:v>3/10/1998</c:v>
                </c:pt>
                <c:pt idx="7">
                  <c:v>3/11/1998</c:v>
                </c:pt>
                <c:pt idx="8">
                  <c:v>3/12/1998</c:v>
                </c:pt>
                <c:pt idx="9">
                  <c:v>3/13/1998</c:v>
                </c:pt>
                <c:pt idx="10">
                  <c:v>3/16/1998</c:v>
                </c:pt>
                <c:pt idx="11">
                  <c:v>3/17/1998</c:v>
                </c:pt>
                <c:pt idx="12">
                  <c:v>3/18/1998</c:v>
                </c:pt>
                <c:pt idx="13">
                  <c:v>3/19/1998</c:v>
                </c:pt>
                <c:pt idx="14">
                  <c:v>3/20/1998</c:v>
                </c:pt>
                <c:pt idx="15">
                  <c:v>3/23/1998</c:v>
                </c:pt>
                <c:pt idx="16">
                  <c:v>3/24/1998</c:v>
                </c:pt>
                <c:pt idx="17">
                  <c:v>3/25/1998</c:v>
                </c:pt>
                <c:pt idx="18">
                  <c:v>3/26/1998</c:v>
                </c:pt>
                <c:pt idx="19">
                  <c:v>3/27/1998</c:v>
                </c:pt>
                <c:pt idx="20">
                  <c:v>3/30/1998</c:v>
                </c:pt>
                <c:pt idx="21">
                  <c:v>3/31/1998</c:v>
                </c:pt>
                <c:pt idx="22">
                  <c:v>4/1/1998</c:v>
                </c:pt>
                <c:pt idx="23">
                  <c:v>4/2/1998</c:v>
                </c:pt>
                <c:pt idx="24">
                  <c:v>4/3/1998</c:v>
                </c:pt>
                <c:pt idx="25">
                  <c:v>4/6/1998</c:v>
                </c:pt>
                <c:pt idx="26">
                  <c:v>4/7/1998</c:v>
                </c:pt>
                <c:pt idx="27">
                  <c:v>4/8/1998</c:v>
                </c:pt>
                <c:pt idx="28">
                  <c:v>4/9/1998</c:v>
                </c:pt>
                <c:pt idx="29">
                  <c:v>4/13/1998</c:v>
                </c:pt>
                <c:pt idx="30">
                  <c:v>4/14/1998</c:v>
                </c:pt>
                <c:pt idx="31">
                  <c:v>4/15/1998</c:v>
                </c:pt>
                <c:pt idx="32">
                  <c:v>4/16/1998</c:v>
                </c:pt>
                <c:pt idx="33">
                  <c:v>4/17/1998</c:v>
                </c:pt>
                <c:pt idx="34">
                  <c:v>4/20/1998</c:v>
                </c:pt>
                <c:pt idx="35">
                  <c:v>4/21/1998</c:v>
                </c:pt>
                <c:pt idx="36">
                  <c:v>4/22/1998</c:v>
                </c:pt>
                <c:pt idx="37">
                  <c:v>4/23/1998</c:v>
                </c:pt>
                <c:pt idx="38">
                  <c:v>4/24/1998</c:v>
                </c:pt>
                <c:pt idx="39">
                  <c:v>4/27/1998</c:v>
                </c:pt>
                <c:pt idx="40">
                  <c:v>4/28/1998</c:v>
                </c:pt>
                <c:pt idx="41">
                  <c:v>4/29/1998</c:v>
                </c:pt>
                <c:pt idx="42">
                  <c:v>4/30/1998</c:v>
                </c:pt>
                <c:pt idx="43">
                  <c:v>5/1/1998</c:v>
                </c:pt>
                <c:pt idx="44">
                  <c:v>5/4/1998</c:v>
                </c:pt>
                <c:pt idx="45">
                  <c:v>5/5/1998</c:v>
                </c:pt>
                <c:pt idx="46">
                  <c:v>5/6/1998</c:v>
                </c:pt>
                <c:pt idx="47">
                  <c:v>5/7/1998</c:v>
                </c:pt>
                <c:pt idx="48">
                  <c:v>5/8/1998</c:v>
                </c:pt>
                <c:pt idx="49">
                  <c:v>5/11/1998</c:v>
                </c:pt>
                <c:pt idx="50">
                  <c:v>5/12/1998</c:v>
                </c:pt>
                <c:pt idx="51">
                  <c:v>5/13/1998</c:v>
                </c:pt>
                <c:pt idx="52">
                  <c:v>5/14/1998</c:v>
                </c:pt>
                <c:pt idx="53">
                  <c:v>5/15/1998</c:v>
                </c:pt>
                <c:pt idx="54">
                  <c:v>5/18/1998</c:v>
                </c:pt>
                <c:pt idx="55">
                  <c:v>5/19/1998</c:v>
                </c:pt>
                <c:pt idx="56">
                  <c:v>5/20/1998</c:v>
                </c:pt>
                <c:pt idx="57">
                  <c:v>5/21/1998</c:v>
                </c:pt>
                <c:pt idx="58">
                  <c:v>5/22/1998</c:v>
                </c:pt>
                <c:pt idx="59">
                  <c:v>5/26/1998</c:v>
                </c:pt>
                <c:pt idx="60">
                  <c:v>5/27/1998</c:v>
                </c:pt>
                <c:pt idx="61">
                  <c:v>5/28/1998</c:v>
                </c:pt>
                <c:pt idx="62">
                  <c:v>5/29/1998</c:v>
                </c:pt>
                <c:pt idx="63">
                  <c:v>6/1/1998</c:v>
                </c:pt>
                <c:pt idx="64">
                  <c:v>6/2/1998</c:v>
                </c:pt>
                <c:pt idx="65">
                  <c:v>6/3/1998</c:v>
                </c:pt>
                <c:pt idx="66">
                  <c:v>6/4/1998</c:v>
                </c:pt>
                <c:pt idx="67">
                  <c:v>6/5/1998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6/15/1998</c:v>
                </c:pt>
                <c:pt idx="74">
                  <c:v>6/16/1998</c:v>
                </c:pt>
                <c:pt idx="75">
                  <c:v>6/17/1998</c:v>
                </c:pt>
                <c:pt idx="76">
                  <c:v>6/18/1998</c:v>
                </c:pt>
                <c:pt idx="77">
                  <c:v>6/19/1998</c:v>
                </c:pt>
                <c:pt idx="78">
                  <c:v>6/22/1998</c:v>
                </c:pt>
                <c:pt idx="79">
                  <c:v>6/23/1998</c:v>
                </c:pt>
                <c:pt idx="80">
                  <c:v>6/24/1998</c:v>
                </c:pt>
                <c:pt idx="81">
                  <c:v>6/25/1998</c:v>
                </c:pt>
                <c:pt idx="82">
                  <c:v>6/26/1998</c:v>
                </c:pt>
                <c:pt idx="83">
                  <c:v>6/29/1998</c:v>
                </c:pt>
                <c:pt idx="84">
                  <c:v>6/30/1998</c:v>
                </c:pt>
                <c:pt idx="85">
                  <c:v>7/1/1998</c:v>
                </c:pt>
                <c:pt idx="86">
                  <c:v>7/2/1998</c:v>
                </c:pt>
                <c:pt idx="87">
                  <c:v>7/6/1998</c:v>
                </c:pt>
                <c:pt idx="88">
                  <c:v>7/7/1998</c:v>
                </c:pt>
                <c:pt idx="89">
                  <c:v>7/8/1998</c:v>
                </c:pt>
                <c:pt idx="90">
                  <c:v>7/9/1998</c:v>
                </c:pt>
                <c:pt idx="91">
                  <c:v>7/10/1998</c:v>
                </c:pt>
                <c:pt idx="92">
                  <c:v>7/13/1998</c:v>
                </c:pt>
                <c:pt idx="93">
                  <c:v>7/14/1998</c:v>
                </c:pt>
                <c:pt idx="94">
                  <c:v>7/15/1998</c:v>
                </c:pt>
                <c:pt idx="95">
                  <c:v>7/16/1998</c:v>
                </c:pt>
                <c:pt idx="96">
                  <c:v>7/17/1998</c:v>
                </c:pt>
                <c:pt idx="97">
                  <c:v>7/20/1998</c:v>
                </c:pt>
                <c:pt idx="98">
                  <c:v>7/21/1998</c:v>
                </c:pt>
                <c:pt idx="99">
                  <c:v>7/22/1998</c:v>
                </c:pt>
                <c:pt idx="100">
                  <c:v>7/23/1998</c:v>
                </c:pt>
                <c:pt idx="101">
                  <c:v>7/24/1998</c:v>
                </c:pt>
                <c:pt idx="102">
                  <c:v>7/27/1998</c:v>
                </c:pt>
                <c:pt idx="103">
                  <c:v>7/28/1998</c:v>
                </c:pt>
                <c:pt idx="104">
                  <c:v>29-Jul-98</c:v>
                </c:pt>
                <c:pt idx="105">
                  <c:v>30-Jul-98</c:v>
                </c:pt>
                <c:pt idx="106">
                  <c:v>31-Jul-98</c:v>
                </c:pt>
                <c:pt idx="107">
                  <c:v>3-Aug-98</c:v>
                </c:pt>
                <c:pt idx="108">
                  <c:v>4-Aug-98</c:v>
                </c:pt>
                <c:pt idx="109">
                  <c:v>5-Aug-98</c:v>
                </c:pt>
                <c:pt idx="110">
                  <c:v>6-Aug-98</c:v>
                </c:pt>
                <c:pt idx="111">
                  <c:v>7-Aug-98</c:v>
                </c:pt>
                <c:pt idx="112">
                  <c:v>10-Aug-98</c:v>
                </c:pt>
                <c:pt idx="113">
                  <c:v>11-Aug-98</c:v>
                </c:pt>
                <c:pt idx="114">
                  <c:v>12-Aug-98</c:v>
                </c:pt>
                <c:pt idx="115">
                  <c:v>13-Aug-98</c:v>
                </c:pt>
                <c:pt idx="116">
                  <c:v>14-Aug-98</c:v>
                </c:pt>
                <c:pt idx="117">
                  <c:v>17-Aug-98</c:v>
                </c:pt>
                <c:pt idx="118">
                  <c:v>18-Aug-98</c:v>
                </c:pt>
                <c:pt idx="119">
                  <c:v>19-Aug-98</c:v>
                </c:pt>
                <c:pt idx="120">
                  <c:v>20-Aug-98</c:v>
                </c:pt>
                <c:pt idx="121">
                  <c:v>21-Aug-98</c:v>
                </c:pt>
                <c:pt idx="122">
                  <c:v>24-Aug-98</c:v>
                </c:pt>
                <c:pt idx="123">
                  <c:v>25-Aug-98</c:v>
                </c:pt>
                <c:pt idx="124">
                  <c:v>26-Aug-98</c:v>
                </c:pt>
                <c:pt idx="125">
                  <c:v>27-Aug-98</c:v>
                </c:pt>
                <c:pt idx="126">
                  <c:v>28-Aug-98</c:v>
                </c:pt>
                <c:pt idx="127">
                  <c:v>31-Aug-98</c:v>
                </c:pt>
                <c:pt idx="128">
                  <c:v>1-Sep-98</c:v>
                </c:pt>
                <c:pt idx="129">
                  <c:v>2-Sep-98</c:v>
                </c:pt>
                <c:pt idx="130">
                  <c:v>3-Sep-98</c:v>
                </c:pt>
                <c:pt idx="131">
                  <c:v>4-Sep-98</c:v>
                </c:pt>
                <c:pt idx="132">
                  <c:v>8-Sep-98</c:v>
                </c:pt>
                <c:pt idx="133">
                  <c:v>9-Sep-98</c:v>
                </c:pt>
                <c:pt idx="134">
                  <c:v>10-Sep-98</c:v>
                </c:pt>
                <c:pt idx="135">
                  <c:v>11-Sep-98</c:v>
                </c:pt>
                <c:pt idx="136">
                  <c:v>14-Sep-98</c:v>
                </c:pt>
                <c:pt idx="137">
                  <c:v>15-Sep-98</c:v>
                </c:pt>
                <c:pt idx="138">
                  <c:v>16-Sep-98</c:v>
                </c:pt>
                <c:pt idx="139">
                  <c:v>17-Sep-98</c:v>
                </c:pt>
                <c:pt idx="140">
                  <c:v>18-Sep-98</c:v>
                </c:pt>
                <c:pt idx="141">
                  <c:v>21-Sep-98</c:v>
                </c:pt>
                <c:pt idx="142">
                  <c:v>22-Sep-98</c:v>
                </c:pt>
                <c:pt idx="143">
                  <c:v>23-Sep-98</c:v>
                </c:pt>
                <c:pt idx="144">
                  <c:v>24-Sep-98</c:v>
                </c:pt>
                <c:pt idx="145">
                  <c:v>25-Sep-98</c:v>
                </c:pt>
                <c:pt idx="146">
                  <c:v>28-Sep-98</c:v>
                </c:pt>
                <c:pt idx="147">
                  <c:v>29-Sep-98</c:v>
                </c:pt>
                <c:pt idx="148">
                  <c:v>30-Sep-98</c:v>
                </c:pt>
                <c:pt idx="149">
                  <c:v>1-Oct-98</c:v>
                </c:pt>
                <c:pt idx="150">
                  <c:v>2-Oct-98</c:v>
                </c:pt>
                <c:pt idx="151">
                  <c:v>5-Oct-98</c:v>
                </c:pt>
                <c:pt idx="152">
                  <c:v>6-Oct-98</c:v>
                </c:pt>
                <c:pt idx="153">
                  <c:v>7-Oct-98</c:v>
                </c:pt>
                <c:pt idx="154">
                  <c:v>8-Oct-98</c:v>
                </c:pt>
                <c:pt idx="155">
                  <c:v>9-Oct-98</c:v>
                </c:pt>
                <c:pt idx="156">
                  <c:v>12-Oct-98</c:v>
                </c:pt>
                <c:pt idx="157">
                  <c:v>13-Oct-98</c:v>
                </c:pt>
                <c:pt idx="158">
                  <c:v>14-Oct-98</c:v>
                </c:pt>
                <c:pt idx="159">
                  <c:v>15-Oct-98</c:v>
                </c:pt>
                <c:pt idx="160">
                  <c:v>16-Oct-98</c:v>
                </c:pt>
                <c:pt idx="161">
                  <c:v>19-Oct-98</c:v>
                </c:pt>
                <c:pt idx="162">
                  <c:v>20-Oct-98</c:v>
                </c:pt>
                <c:pt idx="163">
                  <c:v>21-Oct-98</c:v>
                </c:pt>
                <c:pt idx="164">
                  <c:v>22-Oct-98</c:v>
                </c:pt>
                <c:pt idx="165">
                  <c:v>23-Oct-98</c:v>
                </c:pt>
                <c:pt idx="166">
                  <c:v>26-Oct-98</c:v>
                </c:pt>
                <c:pt idx="167">
                  <c:v>27-Oct-98</c:v>
                </c:pt>
                <c:pt idx="168">
                  <c:v>28-Oct-98</c:v>
                </c:pt>
                <c:pt idx="169">
                  <c:v>29-Oct-98</c:v>
                </c:pt>
                <c:pt idx="170">
                  <c:v>30-Oct-98</c:v>
                </c:pt>
                <c:pt idx="171">
                  <c:v>2-Nov-98</c:v>
                </c:pt>
                <c:pt idx="172">
                  <c:v>3-Nov-98</c:v>
                </c:pt>
                <c:pt idx="173">
                  <c:v>4-Nov-98</c:v>
                </c:pt>
                <c:pt idx="174">
                  <c:v>5-Nov-98</c:v>
                </c:pt>
                <c:pt idx="175">
                  <c:v>6-Nov-98</c:v>
                </c:pt>
                <c:pt idx="176">
                  <c:v>9-Nov-98</c:v>
                </c:pt>
                <c:pt idx="177">
                  <c:v>10-Nov-98</c:v>
                </c:pt>
                <c:pt idx="178">
                  <c:v>11-Nov-98</c:v>
                </c:pt>
                <c:pt idx="179">
                  <c:v>12-Nov-98</c:v>
                </c:pt>
                <c:pt idx="180">
                  <c:v>13-Nov-98</c:v>
                </c:pt>
                <c:pt idx="181">
                  <c:v>16-Nov-98</c:v>
                </c:pt>
                <c:pt idx="182">
                  <c:v>17-Nov-98</c:v>
                </c:pt>
                <c:pt idx="183">
                  <c:v>18-Nov-98</c:v>
                </c:pt>
                <c:pt idx="184">
                  <c:v>19-Nov-98</c:v>
                </c:pt>
                <c:pt idx="185">
                  <c:v>20-Nov-98</c:v>
                </c:pt>
                <c:pt idx="186">
                  <c:v>23-Nov-98</c:v>
                </c:pt>
                <c:pt idx="187">
                  <c:v>24-Nov-98</c:v>
                </c:pt>
                <c:pt idx="188">
                  <c:v>25-Nov-98</c:v>
                </c:pt>
                <c:pt idx="189">
                  <c:v>27-Nov-98</c:v>
                </c:pt>
                <c:pt idx="190">
                  <c:v>30-Nov-98</c:v>
                </c:pt>
                <c:pt idx="191">
                  <c:v>1-Dec-98</c:v>
                </c:pt>
                <c:pt idx="192">
                  <c:v>2-Dec-98</c:v>
                </c:pt>
                <c:pt idx="193">
                  <c:v>3-Dec-98</c:v>
                </c:pt>
                <c:pt idx="194">
                  <c:v>4-Dec-98</c:v>
                </c:pt>
                <c:pt idx="195">
                  <c:v>7-Dec-98</c:v>
                </c:pt>
                <c:pt idx="196">
                  <c:v>8-Dec-98</c:v>
                </c:pt>
                <c:pt idx="197">
                  <c:v>9-Dec-98</c:v>
                </c:pt>
                <c:pt idx="198">
                  <c:v>10-Dec-98</c:v>
                </c:pt>
                <c:pt idx="199">
                  <c:v>11-Dec-98</c:v>
                </c:pt>
                <c:pt idx="200">
                  <c:v>14-Dec-98</c:v>
                </c:pt>
                <c:pt idx="201">
                  <c:v>15-Dec-98</c:v>
                </c:pt>
                <c:pt idx="202">
                  <c:v>16-Dec-98</c:v>
                </c:pt>
                <c:pt idx="203">
                  <c:v>17-Dec-98</c:v>
                </c:pt>
                <c:pt idx="204">
                  <c:v>18-Dec-98</c:v>
                </c:pt>
                <c:pt idx="205">
                  <c:v>21-Dec-98</c:v>
                </c:pt>
                <c:pt idx="206">
                  <c:v>22-Dec-98</c:v>
                </c:pt>
                <c:pt idx="207">
                  <c:v>23-Dec-98</c:v>
                </c:pt>
                <c:pt idx="208">
                  <c:v>24-Dec-98</c:v>
                </c:pt>
                <c:pt idx="209">
                  <c:v>28-Dec-98</c:v>
                </c:pt>
                <c:pt idx="210">
                  <c:v>29-Dec-98</c:v>
                </c:pt>
                <c:pt idx="211">
                  <c:v>30-Dec-98</c:v>
                </c:pt>
                <c:pt idx="212">
                  <c:v>31-Dec-98</c:v>
                </c:pt>
                <c:pt idx="213">
                  <c:v>4-Jan-99</c:v>
                </c:pt>
                <c:pt idx="214">
                  <c:v>5-Jan-99</c:v>
                </c:pt>
                <c:pt idx="215">
                  <c:v>6-Jan-99</c:v>
                </c:pt>
                <c:pt idx="216">
                  <c:v>7-Jan-99</c:v>
                </c:pt>
                <c:pt idx="217">
                  <c:v>8-Jan-99</c:v>
                </c:pt>
                <c:pt idx="218">
                  <c:v>11-Jan-99</c:v>
                </c:pt>
                <c:pt idx="219">
                  <c:v>12-Jan-99</c:v>
                </c:pt>
                <c:pt idx="220">
                  <c:v>13-Jan-99</c:v>
                </c:pt>
                <c:pt idx="221">
                  <c:v>14-Jan-99</c:v>
                </c:pt>
                <c:pt idx="222">
                  <c:v>15-Jan-99</c:v>
                </c:pt>
                <c:pt idx="223">
                  <c:v>19-Jan-99</c:v>
                </c:pt>
                <c:pt idx="224">
                  <c:v>20-Jan-99</c:v>
                </c:pt>
                <c:pt idx="225">
                  <c:v>21-Jan-99</c:v>
                </c:pt>
                <c:pt idx="226">
                  <c:v>22-Jan-99</c:v>
                </c:pt>
                <c:pt idx="227">
                  <c:v>25-Jan-99</c:v>
                </c:pt>
                <c:pt idx="228">
                  <c:v>26-Jan-99</c:v>
                </c:pt>
                <c:pt idx="229">
                  <c:v>27-Jan-99</c:v>
                </c:pt>
                <c:pt idx="230">
                  <c:v>28-Jan-99</c:v>
                </c:pt>
                <c:pt idx="231">
                  <c:v>29-Jan-99</c:v>
                </c:pt>
                <c:pt idx="232">
                  <c:v>1-Feb-99</c:v>
                </c:pt>
                <c:pt idx="233">
                  <c:v>2-Feb-99</c:v>
                </c:pt>
                <c:pt idx="234">
                  <c:v>3-Feb-99</c:v>
                </c:pt>
                <c:pt idx="235">
                  <c:v>4-Feb-99</c:v>
                </c:pt>
                <c:pt idx="236">
                  <c:v>5-Feb-99</c:v>
                </c:pt>
                <c:pt idx="237">
                  <c:v>8-Feb-99</c:v>
                </c:pt>
                <c:pt idx="238">
                  <c:v>9-Feb-99</c:v>
                </c:pt>
                <c:pt idx="239">
                  <c:v>10-Feb-99</c:v>
                </c:pt>
                <c:pt idx="240">
                  <c:v>11-Feb-99</c:v>
                </c:pt>
                <c:pt idx="241">
                  <c:v>12-Feb-99</c:v>
                </c:pt>
                <c:pt idx="242">
                  <c:v>16-Feb-99</c:v>
                </c:pt>
                <c:pt idx="243">
                  <c:v>17-Feb-99</c:v>
                </c:pt>
                <c:pt idx="244">
                  <c:v>18-Feb-99</c:v>
                </c:pt>
                <c:pt idx="245">
                  <c:v>19-Feb-99</c:v>
                </c:pt>
                <c:pt idx="246">
                  <c:v>22-Feb-99</c:v>
                </c:pt>
                <c:pt idx="247">
                  <c:v>23-Feb-99</c:v>
                </c:pt>
                <c:pt idx="248">
                  <c:v>24-Feb-99</c:v>
                </c:pt>
                <c:pt idx="249">
                  <c:v>25-Feb-99</c:v>
                </c:pt>
                <c:pt idx="250">
                  <c:v>26-Feb-99</c:v>
                </c:pt>
                <c:pt idx="251">
                  <c:v>1-Mar-99</c:v>
                </c:pt>
                <c:pt idx="252">
                  <c:v>2-Mar-99</c:v>
                </c:pt>
                <c:pt idx="253">
                  <c:v>3-Mar-99</c:v>
                </c:pt>
                <c:pt idx="254">
                  <c:v>4-Mar-99</c:v>
                </c:pt>
                <c:pt idx="255">
                  <c:v>5-Mar-99</c:v>
                </c:pt>
                <c:pt idx="256">
                  <c:v>8-Mar-99</c:v>
                </c:pt>
                <c:pt idx="257">
                  <c:v>9-Mar-99</c:v>
                </c:pt>
                <c:pt idx="258">
                  <c:v>10-Mar-99</c:v>
                </c:pt>
                <c:pt idx="259">
                  <c:v>11-Mar-99</c:v>
                </c:pt>
                <c:pt idx="260">
                  <c:v>12-Mar-99</c:v>
                </c:pt>
                <c:pt idx="261">
                  <c:v>15-Mar-99</c:v>
                </c:pt>
                <c:pt idx="262">
                  <c:v>16-Mar-99</c:v>
                </c:pt>
                <c:pt idx="263">
                  <c:v>17-Mar-99</c:v>
                </c:pt>
                <c:pt idx="264">
                  <c:v>18-Mar-99</c:v>
                </c:pt>
                <c:pt idx="265">
                  <c:v>19-Mar-99</c:v>
                </c:pt>
                <c:pt idx="266">
                  <c:v>22-Mar-99</c:v>
                </c:pt>
                <c:pt idx="267">
                  <c:v>23-Mar-99</c:v>
                </c:pt>
                <c:pt idx="268">
                  <c:v>24-Mar-99</c:v>
                </c:pt>
                <c:pt idx="269">
                  <c:v>25-Mar-99</c:v>
                </c:pt>
                <c:pt idx="270">
                  <c:v>26-Mar-99</c:v>
                </c:pt>
                <c:pt idx="271">
                  <c:v>29-Mar-99</c:v>
                </c:pt>
                <c:pt idx="272">
                  <c:v>30-Mar-99</c:v>
                </c:pt>
                <c:pt idx="273">
                  <c:v>31-Mar-99</c:v>
                </c:pt>
                <c:pt idx="274">
                  <c:v>1-Apr-99</c:v>
                </c:pt>
                <c:pt idx="275">
                  <c:v>5-Apr-99</c:v>
                </c:pt>
                <c:pt idx="276">
                  <c:v>6-Apr-99</c:v>
                </c:pt>
                <c:pt idx="277">
                  <c:v>7-Apr-99</c:v>
                </c:pt>
                <c:pt idx="278">
                  <c:v>8-Apr-99</c:v>
                </c:pt>
                <c:pt idx="279">
                  <c:v>9-Apr-99</c:v>
                </c:pt>
                <c:pt idx="280">
                  <c:v>12-Apr-99</c:v>
                </c:pt>
                <c:pt idx="281">
                  <c:v>13-Apr-99</c:v>
                </c:pt>
                <c:pt idx="282">
                  <c:v>14-Apr-99</c:v>
                </c:pt>
                <c:pt idx="283">
                  <c:v>15-Apr-99</c:v>
                </c:pt>
                <c:pt idx="284">
                  <c:v>16-Apr-99</c:v>
                </c:pt>
                <c:pt idx="285">
                  <c:v>19-Apr-99</c:v>
                </c:pt>
                <c:pt idx="286">
                  <c:v>20-Apr-99</c:v>
                </c:pt>
                <c:pt idx="287">
                  <c:v>21-Apr-99</c:v>
                </c:pt>
                <c:pt idx="288">
                  <c:v>22-Apr-99</c:v>
                </c:pt>
                <c:pt idx="289">
                  <c:v>23-Apr-99</c:v>
                </c:pt>
                <c:pt idx="290">
                  <c:v>26-Apr-99</c:v>
                </c:pt>
                <c:pt idx="291">
                  <c:v>27-Apr-99</c:v>
                </c:pt>
                <c:pt idx="292">
                  <c:v>28-Apr-99</c:v>
                </c:pt>
                <c:pt idx="293">
                  <c:v>29-Apr-99</c:v>
                </c:pt>
                <c:pt idx="294">
                  <c:v>30-Apr-99</c:v>
                </c:pt>
                <c:pt idx="295">
                  <c:v>3-May-99</c:v>
                </c:pt>
                <c:pt idx="296">
                  <c:v>4-May-99</c:v>
                </c:pt>
                <c:pt idx="297">
                  <c:v>5-May-99</c:v>
                </c:pt>
                <c:pt idx="298">
                  <c:v>6-May-99</c:v>
                </c:pt>
                <c:pt idx="299">
                  <c:v>7-May-99</c:v>
                </c:pt>
                <c:pt idx="300">
                  <c:v>10-May-99</c:v>
                </c:pt>
                <c:pt idx="301">
                  <c:v>11-May-99</c:v>
                </c:pt>
                <c:pt idx="302">
                  <c:v>12-May-99</c:v>
                </c:pt>
                <c:pt idx="303">
                  <c:v>13-May-99</c:v>
                </c:pt>
                <c:pt idx="304">
                  <c:v>14-May-99</c:v>
                </c:pt>
                <c:pt idx="305">
                  <c:v>17-May-99</c:v>
                </c:pt>
                <c:pt idx="306">
                  <c:v>18-May-99</c:v>
                </c:pt>
                <c:pt idx="307">
                  <c:v>19-May-99</c:v>
                </c:pt>
                <c:pt idx="308">
                  <c:v>20-May-99</c:v>
                </c:pt>
                <c:pt idx="309">
                  <c:v>21-May-99</c:v>
                </c:pt>
                <c:pt idx="310">
                  <c:v>24-May-99</c:v>
                </c:pt>
                <c:pt idx="311">
                  <c:v>25-May-99</c:v>
                </c:pt>
                <c:pt idx="312">
                  <c:v>26-May-99</c:v>
                </c:pt>
                <c:pt idx="313">
                  <c:v>27-May-99</c:v>
                </c:pt>
                <c:pt idx="314">
                  <c:v>28-May-99</c:v>
                </c:pt>
                <c:pt idx="315">
                  <c:v>1-Jun-99</c:v>
                </c:pt>
                <c:pt idx="316">
                  <c:v>2-Jun-99</c:v>
                </c:pt>
                <c:pt idx="317">
                  <c:v>3-Jun-99</c:v>
                </c:pt>
                <c:pt idx="318">
                  <c:v>4-Jun-99</c:v>
                </c:pt>
                <c:pt idx="319">
                  <c:v>7-Jun-99</c:v>
                </c:pt>
                <c:pt idx="320">
                  <c:v>8-Jun-99</c:v>
                </c:pt>
                <c:pt idx="321">
                  <c:v>9-Jun-99</c:v>
                </c:pt>
                <c:pt idx="322">
                  <c:v>10-Jun-99</c:v>
                </c:pt>
                <c:pt idx="323">
                  <c:v>11-Jun-99</c:v>
                </c:pt>
                <c:pt idx="324">
                  <c:v>14-Jun-99</c:v>
                </c:pt>
                <c:pt idx="325">
                  <c:v>15-Jun-99</c:v>
                </c:pt>
                <c:pt idx="326">
                  <c:v>16-Jun-99</c:v>
                </c:pt>
                <c:pt idx="327">
                  <c:v>17-Jun-99</c:v>
                </c:pt>
                <c:pt idx="328">
                  <c:v>18-Jun-99</c:v>
                </c:pt>
                <c:pt idx="329">
                  <c:v>21-Jun-99</c:v>
                </c:pt>
                <c:pt idx="330">
                  <c:v>22-Jun-99</c:v>
                </c:pt>
                <c:pt idx="331">
                  <c:v>23-Jun-99</c:v>
                </c:pt>
                <c:pt idx="332">
                  <c:v>24-Jun-99</c:v>
                </c:pt>
                <c:pt idx="333">
                  <c:v>25-Jun-99</c:v>
                </c:pt>
                <c:pt idx="334">
                  <c:v>28-Jun-99</c:v>
                </c:pt>
                <c:pt idx="335">
                  <c:v>29-Jun-99</c:v>
                </c:pt>
                <c:pt idx="336">
                  <c:v>30-Jun-99</c:v>
                </c:pt>
                <c:pt idx="337">
                  <c:v>1-Jul-99</c:v>
                </c:pt>
                <c:pt idx="338">
                  <c:v>2-Jul-99</c:v>
                </c:pt>
                <c:pt idx="339">
                  <c:v>6-Jul-99</c:v>
                </c:pt>
                <c:pt idx="340">
                  <c:v>7-Jul-99</c:v>
                </c:pt>
                <c:pt idx="341">
                  <c:v>8-Jul-99</c:v>
                </c:pt>
                <c:pt idx="342">
                  <c:v>9-Jul-99</c:v>
                </c:pt>
                <c:pt idx="343">
                  <c:v>12-Jul-99</c:v>
                </c:pt>
                <c:pt idx="344">
                  <c:v>13-Jul-99</c:v>
                </c:pt>
                <c:pt idx="345">
                  <c:v>14-Jul-99</c:v>
                </c:pt>
                <c:pt idx="346">
                  <c:v>15-Jul-99</c:v>
                </c:pt>
                <c:pt idx="347">
                  <c:v>16-Jul-99</c:v>
                </c:pt>
                <c:pt idx="348">
                  <c:v>19-Jul-99</c:v>
                </c:pt>
                <c:pt idx="349">
                  <c:v>20-Jul-99</c:v>
                </c:pt>
                <c:pt idx="350">
                  <c:v>21-Jul-99</c:v>
                </c:pt>
                <c:pt idx="351">
                  <c:v>22-Jul-99</c:v>
                </c:pt>
                <c:pt idx="352">
                  <c:v>23-Jul-99</c:v>
                </c:pt>
                <c:pt idx="353">
                  <c:v>26-Jul-99</c:v>
                </c:pt>
                <c:pt idx="354">
                  <c:v>27-Jul-99</c:v>
                </c:pt>
                <c:pt idx="355">
                  <c:v>28-Jul-99</c:v>
                </c:pt>
                <c:pt idx="356">
                  <c:v>29-Jul-99</c:v>
                </c:pt>
                <c:pt idx="357">
                  <c:v>30-Jul-99</c:v>
                </c:pt>
                <c:pt idx="358">
                  <c:v>2-Aug-99</c:v>
                </c:pt>
                <c:pt idx="359">
                  <c:v>3-Aug-99</c:v>
                </c:pt>
                <c:pt idx="360">
                  <c:v>4-Aug-99</c:v>
                </c:pt>
                <c:pt idx="361">
                  <c:v>5-Aug-99</c:v>
                </c:pt>
                <c:pt idx="362">
                  <c:v>6-Aug-99</c:v>
                </c:pt>
                <c:pt idx="363">
                  <c:v>9-Aug-99</c:v>
                </c:pt>
                <c:pt idx="364">
                  <c:v>10-Aug-99</c:v>
                </c:pt>
                <c:pt idx="365">
                  <c:v>11-Aug-99</c:v>
                </c:pt>
                <c:pt idx="366">
                  <c:v>12-Aug-99</c:v>
                </c:pt>
                <c:pt idx="367">
                  <c:v>13-Aug-99</c:v>
                </c:pt>
                <c:pt idx="368">
                  <c:v>16-Aug-99</c:v>
                </c:pt>
                <c:pt idx="369">
                  <c:v>17-Aug-99</c:v>
                </c:pt>
                <c:pt idx="370">
                  <c:v>18-Aug-99</c:v>
                </c:pt>
                <c:pt idx="371">
                  <c:v>19-Aug-99</c:v>
                </c:pt>
                <c:pt idx="372">
                  <c:v>20-Aug-99</c:v>
                </c:pt>
                <c:pt idx="373">
                  <c:v>23-Aug-99</c:v>
                </c:pt>
                <c:pt idx="374">
                  <c:v>24-Aug-99</c:v>
                </c:pt>
                <c:pt idx="375">
                  <c:v>25-Aug-99</c:v>
                </c:pt>
                <c:pt idx="376">
                  <c:v>26-Aug-99</c:v>
                </c:pt>
                <c:pt idx="377">
                  <c:v>27-Aug-99</c:v>
                </c:pt>
                <c:pt idx="378">
                  <c:v>30-Aug-99</c:v>
                </c:pt>
                <c:pt idx="379">
                  <c:v>31-Aug-99</c:v>
                </c:pt>
                <c:pt idx="380">
                  <c:v>1-Sep-99</c:v>
                </c:pt>
                <c:pt idx="381">
                  <c:v>2-Sep-99</c:v>
                </c:pt>
                <c:pt idx="382">
                  <c:v>3-Sep-99</c:v>
                </c:pt>
                <c:pt idx="383">
                  <c:v>7-Sep-99</c:v>
                </c:pt>
                <c:pt idx="384">
                  <c:v>8-Sep-99</c:v>
                </c:pt>
                <c:pt idx="385">
                  <c:v>9-Sep-99</c:v>
                </c:pt>
                <c:pt idx="386">
                  <c:v>10-Sep-99</c:v>
                </c:pt>
                <c:pt idx="387">
                  <c:v>13-Sep-99</c:v>
                </c:pt>
                <c:pt idx="388">
                  <c:v>14-Sep-99</c:v>
                </c:pt>
                <c:pt idx="389">
                  <c:v>15-Sep-99</c:v>
                </c:pt>
                <c:pt idx="390">
                  <c:v>16-Sep-99</c:v>
                </c:pt>
                <c:pt idx="391">
                  <c:v>17-Sep-99</c:v>
                </c:pt>
                <c:pt idx="392">
                  <c:v>20-Sep-99</c:v>
                </c:pt>
                <c:pt idx="393">
                  <c:v>21-Sep-99</c:v>
                </c:pt>
                <c:pt idx="394">
                  <c:v>22-Sep-99</c:v>
                </c:pt>
                <c:pt idx="395">
                  <c:v>23-Sep-99</c:v>
                </c:pt>
                <c:pt idx="396">
                  <c:v>24-Sep-99</c:v>
                </c:pt>
                <c:pt idx="397">
                  <c:v>27-Sep-99</c:v>
                </c:pt>
                <c:pt idx="398">
                  <c:v>28-Sep-99</c:v>
                </c:pt>
                <c:pt idx="399">
                  <c:v>29-Sep-99</c:v>
                </c:pt>
                <c:pt idx="400">
                  <c:v>30-Sep-99</c:v>
                </c:pt>
                <c:pt idx="401">
                  <c:v>1-Oct-99</c:v>
                </c:pt>
                <c:pt idx="402">
                  <c:v>4-Oct-99</c:v>
                </c:pt>
                <c:pt idx="403">
                  <c:v>5-Oct-99</c:v>
                </c:pt>
                <c:pt idx="404">
                  <c:v>6-Oct-99</c:v>
                </c:pt>
                <c:pt idx="405">
                  <c:v>7-Oct-99</c:v>
                </c:pt>
                <c:pt idx="406">
                  <c:v>8-Oct-99</c:v>
                </c:pt>
                <c:pt idx="407">
                  <c:v>11-Oct-99</c:v>
                </c:pt>
                <c:pt idx="408">
                  <c:v>12-Oct-99</c:v>
                </c:pt>
                <c:pt idx="409">
                  <c:v>13-Oct-99</c:v>
                </c:pt>
                <c:pt idx="410">
                  <c:v>14-Oct-99</c:v>
                </c:pt>
                <c:pt idx="411">
                  <c:v>15-Oct-99</c:v>
                </c:pt>
                <c:pt idx="412">
                  <c:v>18-Oct-99</c:v>
                </c:pt>
                <c:pt idx="413">
                  <c:v>19-Oct-99</c:v>
                </c:pt>
                <c:pt idx="414">
                  <c:v>20-Oct-99</c:v>
                </c:pt>
                <c:pt idx="415">
                  <c:v>21-Oct-99</c:v>
                </c:pt>
                <c:pt idx="416">
                  <c:v>22-Oct-99</c:v>
                </c:pt>
                <c:pt idx="417">
                  <c:v>25-Oct-99</c:v>
                </c:pt>
                <c:pt idx="418">
                  <c:v>26-Oct-99</c:v>
                </c:pt>
                <c:pt idx="419">
                  <c:v>27-Oct-99</c:v>
                </c:pt>
                <c:pt idx="420">
                  <c:v>28-Oct-99</c:v>
                </c:pt>
                <c:pt idx="421">
                  <c:v>29-Oct-99</c:v>
                </c:pt>
                <c:pt idx="422">
                  <c:v>1-Nov-99</c:v>
                </c:pt>
                <c:pt idx="423">
                  <c:v>2-Nov-99</c:v>
                </c:pt>
                <c:pt idx="424">
                  <c:v>3-Nov-99</c:v>
                </c:pt>
                <c:pt idx="425">
                  <c:v>4-Nov-99</c:v>
                </c:pt>
                <c:pt idx="426">
                  <c:v>5-Nov-99</c:v>
                </c:pt>
                <c:pt idx="427">
                  <c:v>8-Nov-99</c:v>
                </c:pt>
                <c:pt idx="428">
                  <c:v>9-Nov-99</c:v>
                </c:pt>
                <c:pt idx="429">
                  <c:v>10-Nov-99</c:v>
                </c:pt>
                <c:pt idx="430">
                  <c:v>11-Nov-99</c:v>
                </c:pt>
                <c:pt idx="431">
                  <c:v>12-Nov-99</c:v>
                </c:pt>
                <c:pt idx="432">
                  <c:v>15-Nov-99</c:v>
                </c:pt>
                <c:pt idx="433">
                  <c:v>16-Nov-99</c:v>
                </c:pt>
                <c:pt idx="434">
                  <c:v>17-Nov-99</c:v>
                </c:pt>
                <c:pt idx="435">
                  <c:v>18-Nov-99</c:v>
                </c:pt>
                <c:pt idx="436">
                  <c:v>19-Nov-99</c:v>
                </c:pt>
                <c:pt idx="437">
                  <c:v>22-Nov-99</c:v>
                </c:pt>
                <c:pt idx="438">
                  <c:v>23-Nov-99</c:v>
                </c:pt>
                <c:pt idx="439">
                  <c:v>24-Nov-99</c:v>
                </c:pt>
                <c:pt idx="440">
                  <c:v>26-Nov-99</c:v>
                </c:pt>
                <c:pt idx="441">
                  <c:v>29-Nov-99</c:v>
                </c:pt>
                <c:pt idx="442">
                  <c:v>30-Nov-99</c:v>
                </c:pt>
                <c:pt idx="443">
                  <c:v>1-Dec-99</c:v>
                </c:pt>
                <c:pt idx="444">
                  <c:v>2-Dec-99</c:v>
                </c:pt>
                <c:pt idx="445">
                  <c:v>3-Dec-99</c:v>
                </c:pt>
                <c:pt idx="446">
                  <c:v>6-Dec-99</c:v>
                </c:pt>
                <c:pt idx="447">
                  <c:v>7-Dec-99</c:v>
                </c:pt>
                <c:pt idx="448">
                  <c:v>8-Dec-99</c:v>
                </c:pt>
                <c:pt idx="449">
                  <c:v>9-Dec-99</c:v>
                </c:pt>
                <c:pt idx="450">
                  <c:v>10-Dec-99</c:v>
                </c:pt>
                <c:pt idx="451">
                  <c:v>13-Dec-99</c:v>
                </c:pt>
                <c:pt idx="452">
                  <c:v>14-Dec-99</c:v>
                </c:pt>
                <c:pt idx="453">
                  <c:v>15-Dec-99</c:v>
                </c:pt>
                <c:pt idx="454">
                  <c:v>16-Dec-99</c:v>
                </c:pt>
                <c:pt idx="455">
                  <c:v>17-Dec-99</c:v>
                </c:pt>
                <c:pt idx="456">
                  <c:v>20-Dec-99</c:v>
                </c:pt>
                <c:pt idx="457">
                  <c:v>21-Dec-99</c:v>
                </c:pt>
                <c:pt idx="458">
                  <c:v>22-Dec-99</c:v>
                </c:pt>
                <c:pt idx="459">
                  <c:v>23-Dec-99</c:v>
                </c:pt>
                <c:pt idx="460">
                  <c:v>27-Dec-99</c:v>
                </c:pt>
                <c:pt idx="461">
                  <c:v>28-Dec-99</c:v>
                </c:pt>
                <c:pt idx="462">
                  <c:v>29-Dec-99</c:v>
                </c:pt>
                <c:pt idx="463">
                  <c:v>30-Dec-99</c:v>
                </c:pt>
                <c:pt idx="464">
                  <c:v>31-Dec-99</c:v>
                </c:pt>
                <c:pt idx="465">
                  <c:v>3-Jan-00</c:v>
                </c:pt>
                <c:pt idx="466">
                  <c:v>4-Jan-00</c:v>
                </c:pt>
                <c:pt idx="467">
                  <c:v>5-Jan-00</c:v>
                </c:pt>
                <c:pt idx="468">
                  <c:v>6-Jan-00</c:v>
                </c:pt>
                <c:pt idx="469">
                  <c:v>7-Jan-00</c:v>
                </c:pt>
                <c:pt idx="470">
                  <c:v>10-Jan-00</c:v>
                </c:pt>
                <c:pt idx="471">
                  <c:v>11-Jan-00</c:v>
                </c:pt>
                <c:pt idx="472">
                  <c:v>12-Jan-00</c:v>
                </c:pt>
                <c:pt idx="473">
                  <c:v>13-Jan-00</c:v>
                </c:pt>
                <c:pt idx="474">
                  <c:v>14-Jan-00</c:v>
                </c:pt>
                <c:pt idx="475">
                  <c:v>18-Jan-00</c:v>
                </c:pt>
                <c:pt idx="476">
                  <c:v>19-Jan-00</c:v>
                </c:pt>
                <c:pt idx="477">
                  <c:v>20-Jan-00</c:v>
                </c:pt>
                <c:pt idx="478">
                  <c:v>21-Jan-00</c:v>
                </c:pt>
                <c:pt idx="479">
                  <c:v>24-Jan-00</c:v>
                </c:pt>
                <c:pt idx="480">
                  <c:v>25-Jan-00</c:v>
                </c:pt>
                <c:pt idx="481">
                  <c:v>26-Jan-00</c:v>
                </c:pt>
                <c:pt idx="482">
                  <c:v>27-Jan-00</c:v>
                </c:pt>
                <c:pt idx="483">
                  <c:v>28-Jan-00</c:v>
                </c:pt>
                <c:pt idx="484">
                  <c:v>31-Jan-00</c:v>
                </c:pt>
                <c:pt idx="485">
                  <c:v>1-Feb-00</c:v>
                </c:pt>
                <c:pt idx="486">
                  <c:v>2-Feb-00</c:v>
                </c:pt>
                <c:pt idx="487">
                  <c:v>3-Feb-00</c:v>
                </c:pt>
                <c:pt idx="488">
                  <c:v>4-Feb-00</c:v>
                </c:pt>
                <c:pt idx="489">
                  <c:v>7-Feb-00</c:v>
                </c:pt>
                <c:pt idx="490">
                  <c:v>8-Feb-00</c:v>
                </c:pt>
                <c:pt idx="491">
                  <c:v>9-Feb-00</c:v>
                </c:pt>
                <c:pt idx="492">
                  <c:v>10-Feb-00</c:v>
                </c:pt>
                <c:pt idx="493">
                  <c:v>11-Feb-00</c:v>
                </c:pt>
                <c:pt idx="494">
                  <c:v>14-Feb-00</c:v>
                </c:pt>
                <c:pt idx="495">
                  <c:v>15-Feb-00</c:v>
                </c:pt>
                <c:pt idx="496">
                  <c:v>16-Feb-00</c:v>
                </c:pt>
                <c:pt idx="497">
                  <c:v>17-Feb-00</c:v>
                </c:pt>
                <c:pt idx="498">
                  <c:v>18-Feb-00</c:v>
                </c:pt>
                <c:pt idx="499">
                  <c:v>22-Feb-00</c:v>
                </c:pt>
                <c:pt idx="500">
                  <c:v>23-Feb-00</c:v>
                </c:pt>
                <c:pt idx="501">
                  <c:v>24-Feb-00</c:v>
                </c:pt>
                <c:pt idx="502">
                  <c:v>25-Feb-00</c:v>
                </c:pt>
                <c:pt idx="503">
                  <c:v>28-Feb-00</c:v>
                </c:pt>
                <c:pt idx="504">
                  <c:v>29-Feb-00</c:v>
                </c:pt>
                <c:pt idx="505">
                  <c:v>1-Mar-00</c:v>
                </c:pt>
                <c:pt idx="506">
                  <c:v>2-Mar-00</c:v>
                </c:pt>
                <c:pt idx="507">
                  <c:v>3-Mar-00</c:v>
                </c:pt>
                <c:pt idx="508">
                  <c:v>6-Mar-00</c:v>
                </c:pt>
              </c:strCache>
            </c:strRef>
          </c:cat>
          <c:val>
            <c:numRef>
              <c:f>'Stock Data'!$C$2:$C$510</c:f>
              <c:numCache>
                <c:formatCode>_(* #,##0_);_(* \(#,##0\);_(* \-??_);_(@_)</c:formatCode>
                <c:ptCount val="509"/>
                <c:pt idx="0">
                  <c:v>271.69</c:v>
                </c:pt>
                <c:pt idx="1">
                  <c:v>272.47</c:v>
                </c:pt>
                <c:pt idx="2">
                  <c:v>271.92</c:v>
                </c:pt>
                <c:pt idx="3">
                  <c:v>271.69</c:v>
                </c:pt>
                <c:pt idx="4">
                  <c:v>272.9</c:v>
                </c:pt>
                <c:pt idx="5">
                  <c:v>274.1</c:v>
                </c:pt>
                <c:pt idx="6">
                  <c:v>276.71</c:v>
                </c:pt>
                <c:pt idx="7">
                  <c:v>275.68</c:v>
                </c:pt>
                <c:pt idx="8">
                  <c:v>275.07</c:v>
                </c:pt>
                <c:pt idx="9">
                  <c:v>274.99</c:v>
                </c:pt>
                <c:pt idx="10">
                  <c:v>276.71</c:v>
                </c:pt>
                <c:pt idx="11">
                  <c:v>278.68</c:v>
                </c:pt>
                <c:pt idx="12">
                  <c:v>281.24</c:v>
                </c:pt>
                <c:pt idx="13">
                  <c:v>281.78</c:v>
                </c:pt>
                <c:pt idx="14">
                  <c:v>285.68</c:v>
                </c:pt>
                <c:pt idx="15">
                  <c:v>287.4</c:v>
                </c:pt>
                <c:pt idx="16">
                  <c:v>287.6</c:v>
                </c:pt>
                <c:pt idx="17">
                  <c:v>287</c:v>
                </c:pt>
                <c:pt idx="18">
                  <c:v>284.99</c:v>
                </c:pt>
                <c:pt idx="19">
                  <c:v>282.64</c:v>
                </c:pt>
                <c:pt idx="20">
                  <c:v>281.9</c:v>
                </c:pt>
                <c:pt idx="21">
                  <c:v>285.94</c:v>
                </c:pt>
                <c:pt idx="22">
                  <c:v>286.31</c:v>
                </c:pt>
                <c:pt idx="23">
                  <c:v>291.18</c:v>
                </c:pt>
                <c:pt idx="24">
                  <c:v>290.35</c:v>
                </c:pt>
                <c:pt idx="25">
                  <c:v>288.83</c:v>
                </c:pt>
                <c:pt idx="26">
                  <c:v>288.26</c:v>
                </c:pt>
                <c:pt idx="27">
                  <c:v>285.62</c:v>
                </c:pt>
                <c:pt idx="28">
                  <c:v>287.37</c:v>
                </c:pt>
                <c:pt idx="29">
                  <c:v>284.9</c:v>
                </c:pt>
                <c:pt idx="30">
                  <c:v>287.83</c:v>
                </c:pt>
                <c:pt idx="31">
                  <c:v>287.89</c:v>
                </c:pt>
                <c:pt idx="32">
                  <c:v>286.22</c:v>
                </c:pt>
                <c:pt idx="33">
                  <c:v>289.58</c:v>
                </c:pt>
                <c:pt idx="34">
                  <c:v>288.32</c:v>
                </c:pt>
                <c:pt idx="35">
                  <c:v>287.51</c:v>
                </c:pt>
                <c:pt idx="36">
                  <c:v>285.22</c:v>
                </c:pt>
                <c:pt idx="37">
                  <c:v>281.92</c:v>
                </c:pt>
                <c:pt idx="38">
                  <c:v>280</c:v>
                </c:pt>
                <c:pt idx="39">
                  <c:v>276.76</c:v>
                </c:pt>
                <c:pt idx="40">
                  <c:v>277.14</c:v>
                </c:pt>
                <c:pt idx="41">
                  <c:v>278.28</c:v>
                </c:pt>
                <c:pt idx="42">
                  <c:v>284.47</c:v>
                </c:pt>
                <c:pt idx="43">
                  <c:v>283.56</c:v>
                </c:pt>
                <c:pt idx="44">
                  <c:v>284.13</c:v>
                </c:pt>
                <c:pt idx="45">
                  <c:v>284.7</c:v>
                </c:pt>
                <c:pt idx="46">
                  <c:v>282.64</c:v>
                </c:pt>
                <c:pt idx="47">
                  <c:v>281.49</c:v>
                </c:pt>
                <c:pt idx="48">
                  <c:v>282.38</c:v>
                </c:pt>
                <c:pt idx="49">
                  <c:v>282.12</c:v>
                </c:pt>
                <c:pt idx="50">
                  <c:v>282.73</c:v>
                </c:pt>
                <c:pt idx="51">
                  <c:v>280.43</c:v>
                </c:pt>
                <c:pt idx="52">
                  <c:v>279.11</c:v>
                </c:pt>
                <c:pt idx="53">
                  <c:v>279.92</c:v>
                </c:pt>
                <c:pt idx="54">
                  <c:v>279.43</c:v>
                </c:pt>
                <c:pt idx="55">
                  <c:v>278.6</c:v>
                </c:pt>
                <c:pt idx="56">
                  <c:v>281.29</c:v>
                </c:pt>
                <c:pt idx="57">
                  <c:v>280.26</c:v>
                </c:pt>
                <c:pt idx="58">
                  <c:v>280.06</c:v>
                </c:pt>
                <c:pt idx="59">
                  <c:v>278.4</c:v>
                </c:pt>
                <c:pt idx="60">
                  <c:v>277.42</c:v>
                </c:pt>
                <c:pt idx="61">
                  <c:v>280.78</c:v>
                </c:pt>
                <c:pt idx="62">
                  <c:v>284.65</c:v>
                </c:pt>
                <c:pt idx="63">
                  <c:v>291.81</c:v>
                </c:pt>
                <c:pt idx="64">
                  <c:v>291.3</c:v>
                </c:pt>
                <c:pt idx="65">
                  <c:v>290.52</c:v>
                </c:pt>
                <c:pt idx="66">
                  <c:v>290.18</c:v>
                </c:pt>
                <c:pt idx="67">
                  <c:v>292.36</c:v>
                </c:pt>
                <c:pt idx="68">
                  <c:v>292.01</c:v>
                </c:pt>
                <c:pt idx="69">
                  <c:v>290.98</c:v>
                </c:pt>
                <c:pt idx="70">
                  <c:v>292.64</c:v>
                </c:pt>
                <c:pt idx="71">
                  <c:v>293.79</c:v>
                </c:pt>
                <c:pt idx="72">
                  <c:v>293.42</c:v>
                </c:pt>
                <c:pt idx="73">
                  <c:v>292.01</c:v>
                </c:pt>
                <c:pt idx="74">
                  <c:v>290.99</c:v>
                </c:pt>
                <c:pt idx="75">
                  <c:v>290.72</c:v>
                </c:pt>
                <c:pt idx="76">
                  <c:v>291.02</c:v>
                </c:pt>
                <c:pt idx="77">
                  <c:v>289.29</c:v>
                </c:pt>
                <c:pt idx="78">
                  <c:v>289.02</c:v>
                </c:pt>
                <c:pt idx="79">
                  <c:v>290.25</c:v>
                </c:pt>
                <c:pt idx="80">
                  <c:v>290.25</c:v>
                </c:pt>
                <c:pt idx="81">
                  <c:v>286.92</c:v>
                </c:pt>
                <c:pt idx="82">
                  <c:v>288.6</c:v>
                </c:pt>
                <c:pt idx="83">
                  <c:v>292.46</c:v>
                </c:pt>
                <c:pt idx="84">
                  <c:v>293.87</c:v>
                </c:pt>
                <c:pt idx="85">
                  <c:v>294.14</c:v>
                </c:pt>
                <c:pt idx="86">
                  <c:v>293.84</c:v>
                </c:pt>
                <c:pt idx="87">
                  <c:v>295.4</c:v>
                </c:pt>
                <c:pt idx="88">
                  <c:v>292.73</c:v>
                </c:pt>
                <c:pt idx="89">
                  <c:v>292.85</c:v>
                </c:pt>
                <c:pt idx="90">
                  <c:v>290.72</c:v>
                </c:pt>
                <c:pt idx="91">
                  <c:v>291.11</c:v>
                </c:pt>
                <c:pt idx="92">
                  <c:v>290.04</c:v>
                </c:pt>
                <c:pt idx="93">
                  <c:v>290.99</c:v>
                </c:pt>
                <c:pt idx="94">
                  <c:v>290.87</c:v>
                </c:pt>
                <c:pt idx="95">
                  <c:v>292.31</c:v>
                </c:pt>
                <c:pt idx="96">
                  <c:v>291.89</c:v>
                </c:pt>
                <c:pt idx="97">
                  <c:v>289.95</c:v>
                </c:pt>
                <c:pt idx="98">
                  <c:v>288.24</c:v>
                </c:pt>
                <c:pt idx="99">
                  <c:v>289.2</c:v>
                </c:pt>
                <c:pt idx="100">
                  <c:v>287.52</c:v>
                </c:pt>
                <c:pt idx="101">
                  <c:v>286.08</c:v>
                </c:pt>
                <c:pt idx="102">
                  <c:v>286.32</c:v>
                </c:pt>
                <c:pt idx="103">
                  <c:v>283.83</c:v>
                </c:pt>
                <c:pt idx="104">
                  <c:v>282.04</c:v>
                </c:pt>
                <c:pt idx="105">
                  <c:v>284.85</c:v>
                </c:pt>
                <c:pt idx="106">
                  <c:v>278.65</c:v>
                </c:pt>
                <c:pt idx="107">
                  <c:v>280.33</c:v>
                </c:pt>
                <c:pt idx="108">
                  <c:v>273.74</c:v>
                </c:pt>
                <c:pt idx="109">
                  <c:v>273.92</c:v>
                </c:pt>
                <c:pt idx="110">
                  <c:v>273.59</c:v>
                </c:pt>
                <c:pt idx="111">
                  <c:v>277.06</c:v>
                </c:pt>
                <c:pt idx="112">
                  <c:v>276.67</c:v>
                </c:pt>
                <c:pt idx="113">
                  <c:v>274.72</c:v>
                </c:pt>
                <c:pt idx="114">
                  <c:v>280.81</c:v>
                </c:pt>
                <c:pt idx="115">
                  <c:v>279.07</c:v>
                </c:pt>
                <c:pt idx="116">
                  <c:v>277.51</c:v>
                </c:pt>
                <c:pt idx="117">
                  <c:v>281.11</c:v>
                </c:pt>
                <c:pt idx="118">
                  <c:v>281.23</c:v>
                </c:pt>
                <c:pt idx="119">
                  <c:v>279.97</c:v>
                </c:pt>
                <c:pt idx="120">
                  <c:v>280.09</c:v>
                </c:pt>
                <c:pt idx="121">
                  <c:v>282.66</c:v>
                </c:pt>
                <c:pt idx="122">
                  <c:v>284.22</c:v>
                </c:pt>
                <c:pt idx="123">
                  <c:v>283.53</c:v>
                </c:pt>
                <c:pt idx="124">
                  <c:v>284.25</c:v>
                </c:pt>
                <c:pt idx="125">
                  <c:v>281.38</c:v>
                </c:pt>
                <c:pt idx="126">
                  <c:v>283.74</c:v>
                </c:pt>
                <c:pt idx="127">
                  <c:v>278.2</c:v>
                </c:pt>
                <c:pt idx="128">
                  <c:v>278.2</c:v>
                </c:pt>
                <c:pt idx="129">
                  <c:v>272.87</c:v>
                </c:pt>
                <c:pt idx="130">
                  <c:v>272.36</c:v>
                </c:pt>
                <c:pt idx="131">
                  <c:v>271.67</c:v>
                </c:pt>
                <c:pt idx="132">
                  <c:v>276.88</c:v>
                </c:pt>
                <c:pt idx="133">
                  <c:v>278.29</c:v>
                </c:pt>
                <c:pt idx="134">
                  <c:v>278.35</c:v>
                </c:pt>
                <c:pt idx="135">
                  <c:v>281.68</c:v>
                </c:pt>
                <c:pt idx="136">
                  <c:v>287.04</c:v>
                </c:pt>
                <c:pt idx="137">
                  <c:v>290.96</c:v>
                </c:pt>
                <c:pt idx="138">
                  <c:v>293.66</c:v>
                </c:pt>
                <c:pt idx="139">
                  <c:v>292.49</c:v>
                </c:pt>
                <c:pt idx="140">
                  <c:v>293.96</c:v>
                </c:pt>
                <c:pt idx="141">
                  <c:v>294.11</c:v>
                </c:pt>
                <c:pt idx="142">
                  <c:v>296.96</c:v>
                </c:pt>
                <c:pt idx="143">
                  <c:v>302.98</c:v>
                </c:pt>
                <c:pt idx="144">
                  <c:v>298.72</c:v>
                </c:pt>
                <c:pt idx="145">
                  <c:v>299.74</c:v>
                </c:pt>
                <c:pt idx="146">
                  <c:v>299.86</c:v>
                </c:pt>
                <c:pt idx="147">
                  <c:v>303.58</c:v>
                </c:pt>
                <c:pt idx="148">
                  <c:v>306.72</c:v>
                </c:pt>
                <c:pt idx="149">
                  <c:v>304.78</c:v>
                </c:pt>
                <c:pt idx="150">
                  <c:v>311.19</c:v>
                </c:pt>
                <c:pt idx="151">
                  <c:v>318.83</c:v>
                </c:pt>
                <c:pt idx="152">
                  <c:v>317.48</c:v>
                </c:pt>
                <c:pt idx="153">
                  <c:v>319.13</c:v>
                </c:pt>
                <c:pt idx="154">
                  <c:v>320.51</c:v>
                </c:pt>
                <c:pt idx="155">
                  <c:v>311.46</c:v>
                </c:pt>
                <c:pt idx="156">
                  <c:v>300.52</c:v>
                </c:pt>
                <c:pt idx="157">
                  <c:v>305.56</c:v>
                </c:pt>
                <c:pt idx="158">
                  <c:v>310.41</c:v>
                </c:pt>
                <c:pt idx="159">
                  <c:v>315.5</c:v>
                </c:pt>
                <c:pt idx="160">
                  <c:v>309.63</c:v>
                </c:pt>
                <c:pt idx="161">
                  <c:v>306.13</c:v>
                </c:pt>
                <c:pt idx="162">
                  <c:v>300.64</c:v>
                </c:pt>
                <c:pt idx="163">
                  <c:v>300.88</c:v>
                </c:pt>
                <c:pt idx="164">
                  <c:v>303.82</c:v>
                </c:pt>
                <c:pt idx="165">
                  <c:v>301.45</c:v>
                </c:pt>
                <c:pt idx="166">
                  <c:v>299.05</c:v>
                </c:pt>
                <c:pt idx="167">
                  <c:v>298.3</c:v>
                </c:pt>
                <c:pt idx="168">
                  <c:v>300.28</c:v>
                </c:pt>
                <c:pt idx="169">
                  <c:v>297.86</c:v>
                </c:pt>
                <c:pt idx="170">
                  <c:v>301.45</c:v>
                </c:pt>
                <c:pt idx="171">
                  <c:v>304.87</c:v>
                </c:pt>
                <c:pt idx="172">
                  <c:v>307.77</c:v>
                </c:pt>
                <c:pt idx="173">
                  <c:v>306.96</c:v>
                </c:pt>
                <c:pt idx="174">
                  <c:v>307.05</c:v>
                </c:pt>
                <c:pt idx="175">
                  <c:v>307.05</c:v>
                </c:pt>
                <c:pt idx="176">
                  <c:v>307.38</c:v>
                </c:pt>
                <c:pt idx="177">
                  <c:v>310.08</c:v>
                </c:pt>
                <c:pt idx="178">
                  <c:v>305.44</c:v>
                </c:pt>
                <c:pt idx="179">
                  <c:v>305.62</c:v>
                </c:pt>
                <c:pt idx="180">
                  <c:v>306.87</c:v>
                </c:pt>
                <c:pt idx="181">
                  <c:v>309.54</c:v>
                </c:pt>
                <c:pt idx="182">
                  <c:v>309.06</c:v>
                </c:pt>
                <c:pt idx="183">
                  <c:v>309.27</c:v>
                </c:pt>
                <c:pt idx="184">
                  <c:v>308.34</c:v>
                </c:pt>
                <c:pt idx="185">
                  <c:v>310.14</c:v>
                </c:pt>
                <c:pt idx="186">
                  <c:v>312.03</c:v>
                </c:pt>
                <c:pt idx="187">
                  <c:v>311.07</c:v>
                </c:pt>
                <c:pt idx="188">
                  <c:v>310.5</c:v>
                </c:pt>
                <c:pt idx="189">
                  <c:v>309.93</c:v>
                </c:pt>
                <c:pt idx="190">
                  <c:v>303.52</c:v>
                </c:pt>
                <c:pt idx="191">
                  <c:v>305.17</c:v>
                </c:pt>
                <c:pt idx="192">
                  <c:v>304.15</c:v>
                </c:pt>
                <c:pt idx="193">
                  <c:v>303.1</c:v>
                </c:pt>
                <c:pt idx="194">
                  <c:v>308.94</c:v>
                </c:pt>
                <c:pt idx="195">
                  <c:v>308.46</c:v>
                </c:pt>
                <c:pt idx="196">
                  <c:v>307.71</c:v>
                </c:pt>
                <c:pt idx="197">
                  <c:v>306.75</c:v>
                </c:pt>
                <c:pt idx="198">
                  <c:v>303.7</c:v>
                </c:pt>
                <c:pt idx="199">
                  <c:v>304.42</c:v>
                </c:pt>
                <c:pt idx="200">
                  <c:v>304.21</c:v>
                </c:pt>
                <c:pt idx="201">
                  <c:v>304.48</c:v>
                </c:pt>
                <c:pt idx="202">
                  <c:v>306.57</c:v>
                </c:pt>
                <c:pt idx="203">
                  <c:v>311.64</c:v>
                </c:pt>
                <c:pt idx="204">
                  <c:v>313.29</c:v>
                </c:pt>
                <c:pt idx="205">
                  <c:v>314.36</c:v>
                </c:pt>
                <c:pt idx="206">
                  <c:v>312.81</c:v>
                </c:pt>
                <c:pt idx="207">
                  <c:v>315.05</c:v>
                </c:pt>
                <c:pt idx="208">
                  <c:v>314.54</c:v>
                </c:pt>
                <c:pt idx="209">
                  <c:v>312.27</c:v>
                </c:pt>
                <c:pt idx="210">
                  <c:v>312.57</c:v>
                </c:pt>
                <c:pt idx="211">
                  <c:v>310.92</c:v>
                </c:pt>
                <c:pt idx="212">
                  <c:v>312.3</c:v>
                </c:pt>
                <c:pt idx="213">
                  <c:v>311.91</c:v>
                </c:pt>
                <c:pt idx="214">
                  <c:v>309.75</c:v>
                </c:pt>
                <c:pt idx="215">
                  <c:v>311.79</c:v>
                </c:pt>
                <c:pt idx="216">
                  <c:v>311.19</c:v>
                </c:pt>
                <c:pt idx="217">
                  <c:v>310.14</c:v>
                </c:pt>
                <c:pt idx="218">
                  <c:v>307.41</c:v>
                </c:pt>
                <c:pt idx="219">
                  <c:v>308.58</c:v>
                </c:pt>
                <c:pt idx="220">
                  <c:v>308.07</c:v>
                </c:pt>
                <c:pt idx="221">
                  <c:v>303.43</c:v>
                </c:pt>
                <c:pt idx="222">
                  <c:v>306.54</c:v>
                </c:pt>
                <c:pt idx="223">
                  <c:v>304.99</c:v>
                </c:pt>
                <c:pt idx="224">
                  <c:v>304.51</c:v>
                </c:pt>
                <c:pt idx="225">
                  <c:v>306.99</c:v>
                </c:pt>
                <c:pt idx="226">
                  <c:v>308.73</c:v>
                </c:pt>
                <c:pt idx="227">
                  <c:v>308.61</c:v>
                </c:pt>
                <c:pt idx="228">
                  <c:v>308.01</c:v>
                </c:pt>
                <c:pt idx="229">
                  <c:v>303.82</c:v>
                </c:pt>
                <c:pt idx="230">
                  <c:v>303.19</c:v>
                </c:pt>
                <c:pt idx="231">
                  <c:v>302.8</c:v>
                </c:pt>
                <c:pt idx="232">
                  <c:v>296.66</c:v>
                </c:pt>
                <c:pt idx="233">
                  <c:v>294.98</c:v>
                </c:pt>
                <c:pt idx="234">
                  <c:v>294.95</c:v>
                </c:pt>
                <c:pt idx="235">
                  <c:v>291.29</c:v>
                </c:pt>
                <c:pt idx="236">
                  <c:v>293.6</c:v>
                </c:pt>
                <c:pt idx="237">
                  <c:v>296.06</c:v>
                </c:pt>
                <c:pt idx="238">
                  <c:v>293.72</c:v>
                </c:pt>
                <c:pt idx="239">
                  <c:v>293.96</c:v>
                </c:pt>
                <c:pt idx="240">
                  <c:v>291.47</c:v>
                </c:pt>
                <c:pt idx="241">
                  <c:v>286.44</c:v>
                </c:pt>
                <c:pt idx="242">
                  <c:v>288.21</c:v>
                </c:pt>
                <c:pt idx="243">
                  <c:v>291.41</c:v>
                </c:pt>
                <c:pt idx="244">
                  <c:v>295.25</c:v>
                </c:pt>
                <c:pt idx="245">
                  <c:v>295.58</c:v>
                </c:pt>
                <c:pt idx="246">
                  <c:v>298.75</c:v>
                </c:pt>
                <c:pt idx="247">
                  <c:v>296.27</c:v>
                </c:pt>
                <c:pt idx="248">
                  <c:v>297.44</c:v>
                </c:pt>
                <c:pt idx="249">
                  <c:v>294.11</c:v>
                </c:pt>
                <c:pt idx="250">
                  <c:v>293.87</c:v>
                </c:pt>
                <c:pt idx="251">
                  <c:v>291.02</c:v>
                </c:pt>
                <c:pt idx="252">
                  <c:v>290.72</c:v>
                </c:pt>
                <c:pt idx="253">
                  <c:v>292.97</c:v>
                </c:pt>
                <c:pt idx="254">
                  <c:v>297.11</c:v>
                </c:pt>
                <c:pt idx="255">
                  <c:v>301.51</c:v>
                </c:pt>
                <c:pt idx="256">
                  <c:v>299.23</c:v>
                </c:pt>
                <c:pt idx="257">
                  <c:v>295.01</c:v>
                </c:pt>
                <c:pt idx="258">
                  <c:v>298.63</c:v>
                </c:pt>
                <c:pt idx="259">
                  <c:v>301.57</c:v>
                </c:pt>
                <c:pt idx="260">
                  <c:v>304.51</c:v>
                </c:pt>
                <c:pt idx="261">
                  <c:v>301.96</c:v>
                </c:pt>
                <c:pt idx="262">
                  <c:v>301.54</c:v>
                </c:pt>
                <c:pt idx="263">
                  <c:v>302.41</c:v>
                </c:pt>
                <c:pt idx="264">
                  <c:v>306.16</c:v>
                </c:pt>
                <c:pt idx="265">
                  <c:v>303.94</c:v>
                </c:pt>
                <c:pt idx="266">
                  <c:v>303.22</c:v>
                </c:pt>
                <c:pt idx="267">
                  <c:v>299.95</c:v>
                </c:pt>
                <c:pt idx="268">
                  <c:v>305.05</c:v>
                </c:pt>
                <c:pt idx="269">
                  <c:v>304.39</c:v>
                </c:pt>
                <c:pt idx="270">
                  <c:v>299.77</c:v>
                </c:pt>
                <c:pt idx="271">
                  <c:v>300.31</c:v>
                </c:pt>
                <c:pt idx="272">
                  <c:v>293.93</c:v>
                </c:pt>
                <c:pt idx="273">
                  <c:v>292.28</c:v>
                </c:pt>
                <c:pt idx="274">
                  <c:v>295.01</c:v>
                </c:pt>
                <c:pt idx="275">
                  <c:v>297.23</c:v>
                </c:pt>
                <c:pt idx="276">
                  <c:v>293.57</c:v>
                </c:pt>
                <c:pt idx="277">
                  <c:v>292.37</c:v>
                </c:pt>
                <c:pt idx="278">
                  <c:v>297.11</c:v>
                </c:pt>
                <c:pt idx="279">
                  <c:v>296.33</c:v>
                </c:pt>
                <c:pt idx="280">
                  <c:v>298.75</c:v>
                </c:pt>
                <c:pt idx="281">
                  <c:v>298.01</c:v>
                </c:pt>
                <c:pt idx="282">
                  <c:v>291.59</c:v>
                </c:pt>
                <c:pt idx="283">
                  <c:v>293.96</c:v>
                </c:pt>
                <c:pt idx="284">
                  <c:v>296.15</c:v>
                </c:pt>
                <c:pt idx="285">
                  <c:v>298.42</c:v>
                </c:pt>
                <c:pt idx="286">
                  <c:v>303.52</c:v>
                </c:pt>
                <c:pt idx="287">
                  <c:v>302.35</c:v>
                </c:pt>
                <c:pt idx="288">
                  <c:v>302.44</c:v>
                </c:pt>
                <c:pt idx="289">
                  <c:v>301.27</c:v>
                </c:pt>
                <c:pt idx="290">
                  <c:v>302.59</c:v>
                </c:pt>
                <c:pt idx="291">
                  <c:v>305.71</c:v>
                </c:pt>
                <c:pt idx="292">
                  <c:v>307.95</c:v>
                </c:pt>
                <c:pt idx="293">
                  <c:v>311.31</c:v>
                </c:pt>
                <c:pt idx="294">
                  <c:v>311.55</c:v>
                </c:pt>
                <c:pt idx="295">
                  <c:v>316.34</c:v>
                </c:pt>
                <c:pt idx="296">
                  <c:v>313.32</c:v>
                </c:pt>
                <c:pt idx="297">
                  <c:v>314.87</c:v>
                </c:pt>
                <c:pt idx="298">
                  <c:v>314.78</c:v>
                </c:pt>
                <c:pt idx="299">
                  <c:v>315.95</c:v>
                </c:pt>
                <c:pt idx="300">
                  <c:v>314.81</c:v>
                </c:pt>
                <c:pt idx="301">
                  <c:v>314.78</c:v>
                </c:pt>
                <c:pt idx="302">
                  <c:v>315.86</c:v>
                </c:pt>
                <c:pt idx="303">
                  <c:v>320.39</c:v>
                </c:pt>
                <c:pt idx="304">
                  <c:v>315.98</c:v>
                </c:pt>
                <c:pt idx="305">
                  <c:v>319.25</c:v>
                </c:pt>
                <c:pt idx="306">
                  <c:v>318.83</c:v>
                </c:pt>
                <c:pt idx="307">
                  <c:v>324.25</c:v>
                </c:pt>
                <c:pt idx="308">
                  <c:v>324.61</c:v>
                </c:pt>
                <c:pt idx="309">
                  <c:v>325.15</c:v>
                </c:pt>
                <c:pt idx="310">
                  <c:v>327.43</c:v>
                </c:pt>
                <c:pt idx="311">
                  <c:v>328.48</c:v>
                </c:pt>
                <c:pt idx="312">
                  <c:v>330.63</c:v>
                </c:pt>
                <c:pt idx="313">
                  <c:v>325.78</c:v>
                </c:pt>
                <c:pt idx="314">
                  <c:v>329.2</c:v>
                </c:pt>
                <c:pt idx="315">
                  <c:v>325.42</c:v>
                </c:pt>
                <c:pt idx="316">
                  <c:v>324.4</c:v>
                </c:pt>
                <c:pt idx="317">
                  <c:v>326.47</c:v>
                </c:pt>
                <c:pt idx="318">
                  <c:v>330.72</c:v>
                </c:pt>
                <c:pt idx="319">
                  <c:v>333.27</c:v>
                </c:pt>
                <c:pt idx="320">
                  <c:v>332.37</c:v>
                </c:pt>
                <c:pt idx="321">
                  <c:v>331.86</c:v>
                </c:pt>
                <c:pt idx="322">
                  <c:v>328</c:v>
                </c:pt>
                <c:pt idx="323">
                  <c:v>328.72</c:v>
                </c:pt>
                <c:pt idx="324">
                  <c:v>331.11</c:v>
                </c:pt>
                <c:pt idx="325">
                  <c:v>332.1</c:v>
                </c:pt>
                <c:pt idx="326">
                  <c:v>333.45</c:v>
                </c:pt>
                <c:pt idx="327">
                  <c:v>332.91</c:v>
                </c:pt>
                <c:pt idx="328">
                  <c:v>330.1</c:v>
                </c:pt>
                <c:pt idx="329">
                  <c:v>326.77</c:v>
                </c:pt>
                <c:pt idx="330">
                  <c:v>328.39</c:v>
                </c:pt>
                <c:pt idx="331">
                  <c:v>326.68</c:v>
                </c:pt>
                <c:pt idx="332">
                  <c:v>324.76</c:v>
                </c:pt>
                <c:pt idx="333">
                  <c:v>322.04</c:v>
                </c:pt>
                <c:pt idx="334">
                  <c:v>323.29</c:v>
                </c:pt>
                <c:pt idx="335">
                  <c:v>322.45</c:v>
                </c:pt>
                <c:pt idx="336">
                  <c:v>316.82</c:v>
                </c:pt>
                <c:pt idx="337">
                  <c:v>318.32</c:v>
                </c:pt>
                <c:pt idx="338">
                  <c:v>320.33</c:v>
                </c:pt>
                <c:pt idx="339">
                  <c:v>321.38</c:v>
                </c:pt>
                <c:pt idx="340">
                  <c:v>321.14</c:v>
                </c:pt>
                <c:pt idx="341">
                  <c:v>320.69</c:v>
                </c:pt>
                <c:pt idx="342">
                  <c:v>321.71</c:v>
                </c:pt>
                <c:pt idx="343">
                  <c:v>320.3</c:v>
                </c:pt>
                <c:pt idx="344">
                  <c:v>320.3</c:v>
                </c:pt>
                <c:pt idx="345">
                  <c:v>320.36</c:v>
                </c:pt>
                <c:pt idx="346">
                  <c:v>320.57</c:v>
                </c:pt>
                <c:pt idx="347">
                  <c:v>320.24</c:v>
                </c:pt>
                <c:pt idx="348">
                  <c:v>321.41</c:v>
                </c:pt>
                <c:pt idx="349">
                  <c:v>321.32</c:v>
                </c:pt>
                <c:pt idx="350">
                  <c:v>321.68</c:v>
                </c:pt>
                <c:pt idx="351">
                  <c:v>321.23</c:v>
                </c:pt>
                <c:pt idx="352">
                  <c:v>320.99</c:v>
                </c:pt>
                <c:pt idx="353">
                  <c:v>320.93</c:v>
                </c:pt>
                <c:pt idx="354">
                  <c:v>319.61</c:v>
                </c:pt>
                <c:pt idx="355">
                  <c:v>317.18</c:v>
                </c:pt>
                <c:pt idx="356">
                  <c:v>313.23</c:v>
                </c:pt>
                <c:pt idx="357">
                  <c:v>314.66</c:v>
                </c:pt>
                <c:pt idx="358">
                  <c:v>315.68</c:v>
                </c:pt>
                <c:pt idx="359">
                  <c:v>316.85</c:v>
                </c:pt>
                <c:pt idx="360">
                  <c:v>316.64</c:v>
                </c:pt>
                <c:pt idx="361">
                  <c:v>317.72</c:v>
                </c:pt>
                <c:pt idx="362">
                  <c:v>318.38</c:v>
                </c:pt>
                <c:pt idx="363">
                  <c:v>318.95</c:v>
                </c:pt>
                <c:pt idx="364">
                  <c:v>317.69</c:v>
                </c:pt>
                <c:pt idx="365">
                  <c:v>317.24</c:v>
                </c:pt>
                <c:pt idx="366">
                  <c:v>312.6</c:v>
                </c:pt>
                <c:pt idx="367">
                  <c:v>314.39</c:v>
                </c:pt>
                <c:pt idx="368">
                  <c:v>312.58</c:v>
                </c:pt>
                <c:pt idx="369">
                  <c:v>313.06</c:v>
                </c:pt>
                <c:pt idx="370">
                  <c:v>311.33</c:v>
                </c:pt>
                <c:pt idx="371">
                  <c:v>314.86</c:v>
                </c:pt>
                <c:pt idx="372">
                  <c:v>319.64</c:v>
                </c:pt>
                <c:pt idx="373">
                  <c:v>319.58</c:v>
                </c:pt>
                <c:pt idx="374">
                  <c:v>321.25</c:v>
                </c:pt>
                <c:pt idx="375">
                  <c:v>325.2</c:v>
                </c:pt>
                <c:pt idx="376">
                  <c:v>321.73</c:v>
                </c:pt>
                <c:pt idx="377">
                  <c:v>320.93</c:v>
                </c:pt>
                <c:pt idx="378">
                  <c:v>317.11</c:v>
                </c:pt>
                <c:pt idx="379">
                  <c:v>315.86</c:v>
                </c:pt>
                <c:pt idx="380">
                  <c:v>316.95</c:v>
                </c:pt>
                <c:pt idx="381">
                  <c:v>314.6</c:v>
                </c:pt>
                <c:pt idx="382">
                  <c:v>319.61</c:v>
                </c:pt>
                <c:pt idx="383">
                  <c:v>314.6</c:v>
                </c:pt>
                <c:pt idx="384">
                  <c:v>312.64</c:v>
                </c:pt>
                <c:pt idx="385">
                  <c:v>314.12</c:v>
                </c:pt>
                <c:pt idx="386">
                  <c:v>315.95</c:v>
                </c:pt>
                <c:pt idx="387">
                  <c:v>313.54</c:v>
                </c:pt>
                <c:pt idx="388">
                  <c:v>310.91</c:v>
                </c:pt>
                <c:pt idx="389">
                  <c:v>310.98</c:v>
                </c:pt>
                <c:pt idx="390">
                  <c:v>309.02</c:v>
                </c:pt>
                <c:pt idx="391">
                  <c:v>310.78</c:v>
                </c:pt>
                <c:pt idx="392">
                  <c:v>308.66</c:v>
                </c:pt>
                <c:pt idx="393">
                  <c:v>302.24</c:v>
                </c:pt>
                <c:pt idx="394">
                  <c:v>300.48</c:v>
                </c:pt>
                <c:pt idx="395">
                  <c:v>294.86</c:v>
                </c:pt>
                <c:pt idx="396">
                  <c:v>294.73</c:v>
                </c:pt>
                <c:pt idx="397">
                  <c:v>293.73</c:v>
                </c:pt>
                <c:pt idx="398">
                  <c:v>291.77</c:v>
                </c:pt>
                <c:pt idx="399">
                  <c:v>294.73</c:v>
                </c:pt>
                <c:pt idx="400">
                  <c:v>298.26</c:v>
                </c:pt>
                <c:pt idx="401">
                  <c:v>301.54</c:v>
                </c:pt>
                <c:pt idx="402">
                  <c:v>305.87</c:v>
                </c:pt>
                <c:pt idx="403">
                  <c:v>303.4</c:v>
                </c:pt>
                <c:pt idx="404">
                  <c:v>303.43</c:v>
                </c:pt>
                <c:pt idx="405">
                  <c:v>298.36</c:v>
                </c:pt>
                <c:pt idx="406">
                  <c:v>299.67</c:v>
                </c:pt>
                <c:pt idx="407">
                  <c:v>295.72</c:v>
                </c:pt>
                <c:pt idx="408">
                  <c:v>295.59</c:v>
                </c:pt>
                <c:pt idx="409">
                  <c:v>296.49</c:v>
                </c:pt>
                <c:pt idx="410">
                  <c:v>299.38</c:v>
                </c:pt>
                <c:pt idx="411">
                  <c:v>294.73</c:v>
                </c:pt>
                <c:pt idx="412">
                  <c:v>298.52</c:v>
                </c:pt>
                <c:pt idx="413">
                  <c:v>295.08</c:v>
                </c:pt>
                <c:pt idx="414">
                  <c:v>294.66</c:v>
                </c:pt>
                <c:pt idx="415">
                  <c:v>293.57</c:v>
                </c:pt>
                <c:pt idx="416">
                  <c:v>294.73</c:v>
                </c:pt>
                <c:pt idx="417">
                  <c:v>294.47</c:v>
                </c:pt>
                <c:pt idx="418">
                  <c:v>295.24</c:v>
                </c:pt>
                <c:pt idx="419">
                  <c:v>302.37</c:v>
                </c:pt>
                <c:pt idx="420">
                  <c:v>306.26</c:v>
                </c:pt>
                <c:pt idx="421">
                  <c:v>306.61</c:v>
                </c:pt>
                <c:pt idx="422">
                  <c:v>305.2</c:v>
                </c:pt>
                <c:pt idx="423">
                  <c:v>306.67</c:v>
                </c:pt>
                <c:pt idx="424">
                  <c:v>306.64</c:v>
                </c:pt>
                <c:pt idx="425">
                  <c:v>304.01</c:v>
                </c:pt>
                <c:pt idx="426">
                  <c:v>303.27</c:v>
                </c:pt>
                <c:pt idx="427">
                  <c:v>302.18</c:v>
                </c:pt>
                <c:pt idx="428">
                  <c:v>299.48</c:v>
                </c:pt>
                <c:pt idx="429">
                  <c:v>297.33</c:v>
                </c:pt>
                <c:pt idx="430">
                  <c:v>299.35</c:v>
                </c:pt>
                <c:pt idx="431">
                  <c:v>300.31</c:v>
                </c:pt>
                <c:pt idx="432">
                  <c:v>298.13</c:v>
                </c:pt>
                <c:pt idx="433">
                  <c:v>297.97</c:v>
                </c:pt>
                <c:pt idx="434">
                  <c:v>296.24</c:v>
                </c:pt>
                <c:pt idx="435">
                  <c:v>294.05</c:v>
                </c:pt>
                <c:pt idx="436">
                  <c:v>291.71</c:v>
                </c:pt>
                <c:pt idx="437">
                  <c:v>286.09</c:v>
                </c:pt>
                <c:pt idx="438">
                  <c:v>281.56</c:v>
                </c:pt>
                <c:pt idx="439">
                  <c:v>283.2</c:v>
                </c:pt>
                <c:pt idx="440">
                  <c:v>281.37</c:v>
                </c:pt>
                <c:pt idx="441">
                  <c:v>276.94</c:v>
                </c:pt>
                <c:pt idx="442">
                  <c:v>281.53</c:v>
                </c:pt>
                <c:pt idx="443">
                  <c:v>279.96</c:v>
                </c:pt>
                <c:pt idx="444">
                  <c:v>281.43</c:v>
                </c:pt>
                <c:pt idx="445">
                  <c:v>283.17</c:v>
                </c:pt>
                <c:pt idx="446">
                  <c:v>281.31</c:v>
                </c:pt>
                <c:pt idx="447">
                  <c:v>275.91</c:v>
                </c:pt>
                <c:pt idx="448">
                  <c:v>273.7</c:v>
                </c:pt>
                <c:pt idx="449">
                  <c:v>274.44</c:v>
                </c:pt>
                <c:pt idx="450">
                  <c:v>273.18</c:v>
                </c:pt>
                <c:pt idx="451">
                  <c:v>269.59</c:v>
                </c:pt>
                <c:pt idx="452">
                  <c:v>269.2</c:v>
                </c:pt>
                <c:pt idx="453">
                  <c:v>272.19</c:v>
                </c:pt>
                <c:pt idx="454">
                  <c:v>270.52</c:v>
                </c:pt>
                <c:pt idx="455">
                  <c:v>274.27</c:v>
                </c:pt>
                <c:pt idx="456">
                  <c:v>273.83</c:v>
                </c:pt>
                <c:pt idx="457">
                  <c:v>277.1</c:v>
                </c:pt>
                <c:pt idx="458">
                  <c:v>277.42</c:v>
                </c:pt>
                <c:pt idx="459">
                  <c:v>281.21</c:v>
                </c:pt>
                <c:pt idx="460">
                  <c:v>282.56</c:v>
                </c:pt>
                <c:pt idx="461">
                  <c:v>283.01</c:v>
                </c:pt>
                <c:pt idx="462">
                  <c:v>281.6</c:v>
                </c:pt>
                <c:pt idx="463">
                  <c:v>283.62</c:v>
                </c:pt>
                <c:pt idx="464">
                  <c:v>283.36</c:v>
                </c:pt>
                <c:pt idx="465">
                  <c:v>276.71</c:v>
                </c:pt>
                <c:pt idx="466">
                  <c:v>278.51</c:v>
                </c:pt>
                <c:pt idx="467">
                  <c:v>289.11</c:v>
                </c:pt>
                <c:pt idx="468">
                  <c:v>292.64</c:v>
                </c:pt>
                <c:pt idx="469">
                  <c:v>297.78</c:v>
                </c:pt>
                <c:pt idx="470">
                  <c:v>296.37</c:v>
                </c:pt>
                <c:pt idx="471">
                  <c:v>294.37</c:v>
                </c:pt>
                <c:pt idx="472">
                  <c:v>298.23</c:v>
                </c:pt>
                <c:pt idx="473">
                  <c:v>299.8</c:v>
                </c:pt>
                <c:pt idx="474">
                  <c:v>302.24</c:v>
                </c:pt>
                <c:pt idx="475">
                  <c:v>299.29</c:v>
                </c:pt>
                <c:pt idx="476">
                  <c:v>301.54</c:v>
                </c:pt>
                <c:pt idx="477">
                  <c:v>308.82</c:v>
                </c:pt>
                <c:pt idx="478">
                  <c:v>315.09</c:v>
                </c:pt>
                <c:pt idx="479">
                  <c:v>312.26</c:v>
                </c:pt>
                <c:pt idx="480">
                  <c:v>305.87</c:v>
                </c:pt>
                <c:pt idx="481">
                  <c:v>310.33</c:v>
                </c:pt>
                <c:pt idx="482">
                  <c:v>310.81</c:v>
                </c:pt>
                <c:pt idx="483">
                  <c:v>306.58</c:v>
                </c:pt>
                <c:pt idx="484">
                  <c:v>315.14</c:v>
                </c:pt>
                <c:pt idx="485">
                  <c:v>312.95</c:v>
                </c:pt>
                <c:pt idx="486">
                  <c:v>311.41</c:v>
                </c:pt>
                <c:pt idx="487">
                  <c:v>315.61</c:v>
                </c:pt>
                <c:pt idx="488">
                  <c:v>309.3</c:v>
                </c:pt>
                <c:pt idx="489">
                  <c:v>306.91</c:v>
                </c:pt>
                <c:pt idx="490">
                  <c:v>311.31</c:v>
                </c:pt>
                <c:pt idx="491">
                  <c:v>309.43</c:v>
                </c:pt>
                <c:pt idx="492">
                  <c:v>308.09</c:v>
                </c:pt>
                <c:pt idx="493">
                  <c:v>305.97</c:v>
                </c:pt>
                <c:pt idx="494">
                  <c:v>307.05</c:v>
                </c:pt>
                <c:pt idx="495">
                  <c:v>307.42</c:v>
                </c:pt>
                <c:pt idx="496">
                  <c:v>306.11</c:v>
                </c:pt>
                <c:pt idx="497">
                  <c:v>303.99</c:v>
                </c:pt>
                <c:pt idx="498">
                  <c:v>298.86</c:v>
                </c:pt>
                <c:pt idx="499">
                  <c:v>295.9</c:v>
                </c:pt>
                <c:pt idx="500">
                  <c:v>293.52</c:v>
                </c:pt>
                <c:pt idx="501">
                  <c:v>285.53</c:v>
                </c:pt>
                <c:pt idx="502">
                  <c:v>279.99</c:v>
                </c:pt>
                <c:pt idx="503">
                  <c:v>288.15</c:v>
                </c:pt>
                <c:pt idx="504">
                  <c:v>288.48</c:v>
                </c:pt>
                <c:pt idx="505">
                  <c:v>287.38</c:v>
                </c:pt>
                <c:pt idx="506">
                  <c:v>287.98</c:v>
                </c:pt>
                <c:pt idx="507">
                  <c:v>290.2</c:v>
                </c:pt>
                <c:pt idx="508">
                  <c:v>280.8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732889"/>
        <c:axId val="10551362"/>
      </c:lineChart>
      <c:lineChart>
        <c:grouping val="standard"/>
        <c:varyColors val="0"/>
        <c:ser>
          <c:idx val="1"/>
          <c:order val="1"/>
          <c:tx>
            <c:strRef>
              <c:f>'Stock Data'!$B$1</c:f>
              <c:strCache>
                <c:ptCount val="1"/>
                <c:pt idx="0">
                  <c:v>CIN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'Stock Data'!$A$2:$A$510</c:f>
              <c:strCache>
                <c:ptCount val="509"/>
                <c:pt idx="0">
                  <c:v>3/2/1998</c:v>
                </c:pt>
                <c:pt idx="1">
                  <c:v>3/3/1998</c:v>
                </c:pt>
                <c:pt idx="2">
                  <c:v>3/4/1998</c:v>
                </c:pt>
                <c:pt idx="3">
                  <c:v>3/5/1998</c:v>
                </c:pt>
                <c:pt idx="4">
                  <c:v>3/6/1998</c:v>
                </c:pt>
                <c:pt idx="5">
                  <c:v>3/9/1998</c:v>
                </c:pt>
                <c:pt idx="6">
                  <c:v>3/10/1998</c:v>
                </c:pt>
                <c:pt idx="7">
                  <c:v>3/11/1998</c:v>
                </c:pt>
                <c:pt idx="8">
                  <c:v>3/12/1998</c:v>
                </c:pt>
                <c:pt idx="9">
                  <c:v>3/13/1998</c:v>
                </c:pt>
                <c:pt idx="10">
                  <c:v>3/16/1998</c:v>
                </c:pt>
                <c:pt idx="11">
                  <c:v>3/17/1998</c:v>
                </c:pt>
                <c:pt idx="12">
                  <c:v>3/18/1998</c:v>
                </c:pt>
                <c:pt idx="13">
                  <c:v>3/19/1998</c:v>
                </c:pt>
                <c:pt idx="14">
                  <c:v>3/20/1998</c:v>
                </c:pt>
                <c:pt idx="15">
                  <c:v>3/23/1998</c:v>
                </c:pt>
                <c:pt idx="16">
                  <c:v>3/24/1998</c:v>
                </c:pt>
                <c:pt idx="17">
                  <c:v>3/25/1998</c:v>
                </c:pt>
                <c:pt idx="18">
                  <c:v>3/26/1998</c:v>
                </c:pt>
                <c:pt idx="19">
                  <c:v>3/27/1998</c:v>
                </c:pt>
                <c:pt idx="20">
                  <c:v>3/30/1998</c:v>
                </c:pt>
                <c:pt idx="21">
                  <c:v>3/31/1998</c:v>
                </c:pt>
                <c:pt idx="22">
                  <c:v>4/1/1998</c:v>
                </c:pt>
                <c:pt idx="23">
                  <c:v>4/2/1998</c:v>
                </c:pt>
                <c:pt idx="24">
                  <c:v>4/3/1998</c:v>
                </c:pt>
                <c:pt idx="25">
                  <c:v>4/6/1998</c:v>
                </c:pt>
                <c:pt idx="26">
                  <c:v>4/7/1998</c:v>
                </c:pt>
                <c:pt idx="27">
                  <c:v>4/8/1998</c:v>
                </c:pt>
                <c:pt idx="28">
                  <c:v>4/9/1998</c:v>
                </c:pt>
                <c:pt idx="29">
                  <c:v>4/13/1998</c:v>
                </c:pt>
                <c:pt idx="30">
                  <c:v>4/14/1998</c:v>
                </c:pt>
                <c:pt idx="31">
                  <c:v>4/15/1998</c:v>
                </c:pt>
                <c:pt idx="32">
                  <c:v>4/16/1998</c:v>
                </c:pt>
                <c:pt idx="33">
                  <c:v>4/17/1998</c:v>
                </c:pt>
                <c:pt idx="34">
                  <c:v>4/20/1998</c:v>
                </c:pt>
                <c:pt idx="35">
                  <c:v>4/21/1998</c:v>
                </c:pt>
                <c:pt idx="36">
                  <c:v>4/22/1998</c:v>
                </c:pt>
                <c:pt idx="37">
                  <c:v>4/23/1998</c:v>
                </c:pt>
                <c:pt idx="38">
                  <c:v>4/24/1998</c:v>
                </c:pt>
                <c:pt idx="39">
                  <c:v>4/27/1998</c:v>
                </c:pt>
                <c:pt idx="40">
                  <c:v>4/28/1998</c:v>
                </c:pt>
                <c:pt idx="41">
                  <c:v>4/29/1998</c:v>
                </c:pt>
                <c:pt idx="42">
                  <c:v>4/30/1998</c:v>
                </c:pt>
                <c:pt idx="43">
                  <c:v>5/1/1998</c:v>
                </c:pt>
                <c:pt idx="44">
                  <c:v>5/4/1998</c:v>
                </c:pt>
                <c:pt idx="45">
                  <c:v>5/5/1998</c:v>
                </c:pt>
                <c:pt idx="46">
                  <c:v>5/6/1998</c:v>
                </c:pt>
                <c:pt idx="47">
                  <c:v>5/7/1998</c:v>
                </c:pt>
                <c:pt idx="48">
                  <c:v>5/8/1998</c:v>
                </c:pt>
                <c:pt idx="49">
                  <c:v>5/11/1998</c:v>
                </c:pt>
                <c:pt idx="50">
                  <c:v>5/12/1998</c:v>
                </c:pt>
                <c:pt idx="51">
                  <c:v>5/13/1998</c:v>
                </c:pt>
                <c:pt idx="52">
                  <c:v>5/14/1998</c:v>
                </c:pt>
                <c:pt idx="53">
                  <c:v>5/15/1998</c:v>
                </c:pt>
                <c:pt idx="54">
                  <c:v>5/18/1998</c:v>
                </c:pt>
                <c:pt idx="55">
                  <c:v>5/19/1998</c:v>
                </c:pt>
                <c:pt idx="56">
                  <c:v>5/20/1998</c:v>
                </c:pt>
                <c:pt idx="57">
                  <c:v>5/21/1998</c:v>
                </c:pt>
                <c:pt idx="58">
                  <c:v>5/22/1998</c:v>
                </c:pt>
                <c:pt idx="59">
                  <c:v>5/26/1998</c:v>
                </c:pt>
                <c:pt idx="60">
                  <c:v>5/27/1998</c:v>
                </c:pt>
                <c:pt idx="61">
                  <c:v>5/28/1998</c:v>
                </c:pt>
                <c:pt idx="62">
                  <c:v>5/29/1998</c:v>
                </c:pt>
                <c:pt idx="63">
                  <c:v>6/1/1998</c:v>
                </c:pt>
                <c:pt idx="64">
                  <c:v>6/2/1998</c:v>
                </c:pt>
                <c:pt idx="65">
                  <c:v>6/3/1998</c:v>
                </c:pt>
                <c:pt idx="66">
                  <c:v>6/4/1998</c:v>
                </c:pt>
                <c:pt idx="67">
                  <c:v>6/5/1998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6/15/1998</c:v>
                </c:pt>
                <c:pt idx="74">
                  <c:v>6/16/1998</c:v>
                </c:pt>
                <c:pt idx="75">
                  <c:v>6/17/1998</c:v>
                </c:pt>
                <c:pt idx="76">
                  <c:v>6/18/1998</c:v>
                </c:pt>
                <c:pt idx="77">
                  <c:v>6/19/1998</c:v>
                </c:pt>
                <c:pt idx="78">
                  <c:v>6/22/1998</c:v>
                </c:pt>
                <c:pt idx="79">
                  <c:v>6/23/1998</c:v>
                </c:pt>
                <c:pt idx="80">
                  <c:v>6/24/1998</c:v>
                </c:pt>
                <c:pt idx="81">
                  <c:v>6/25/1998</c:v>
                </c:pt>
                <c:pt idx="82">
                  <c:v>6/26/1998</c:v>
                </c:pt>
                <c:pt idx="83">
                  <c:v>6/29/1998</c:v>
                </c:pt>
                <c:pt idx="84">
                  <c:v>6/30/1998</c:v>
                </c:pt>
                <c:pt idx="85">
                  <c:v>7/1/1998</c:v>
                </c:pt>
                <c:pt idx="86">
                  <c:v>7/2/1998</c:v>
                </c:pt>
                <c:pt idx="87">
                  <c:v>7/6/1998</c:v>
                </c:pt>
                <c:pt idx="88">
                  <c:v>7/7/1998</c:v>
                </c:pt>
                <c:pt idx="89">
                  <c:v>7/8/1998</c:v>
                </c:pt>
                <c:pt idx="90">
                  <c:v>7/9/1998</c:v>
                </c:pt>
                <c:pt idx="91">
                  <c:v>7/10/1998</c:v>
                </c:pt>
                <c:pt idx="92">
                  <c:v>7/13/1998</c:v>
                </c:pt>
                <c:pt idx="93">
                  <c:v>7/14/1998</c:v>
                </c:pt>
                <c:pt idx="94">
                  <c:v>7/15/1998</c:v>
                </c:pt>
                <c:pt idx="95">
                  <c:v>7/16/1998</c:v>
                </c:pt>
                <c:pt idx="96">
                  <c:v>7/17/1998</c:v>
                </c:pt>
                <c:pt idx="97">
                  <c:v>7/20/1998</c:v>
                </c:pt>
                <c:pt idx="98">
                  <c:v>7/21/1998</c:v>
                </c:pt>
                <c:pt idx="99">
                  <c:v>7/22/1998</c:v>
                </c:pt>
                <c:pt idx="100">
                  <c:v>7/23/1998</c:v>
                </c:pt>
                <c:pt idx="101">
                  <c:v>7/24/1998</c:v>
                </c:pt>
                <c:pt idx="102">
                  <c:v>7/27/1998</c:v>
                </c:pt>
                <c:pt idx="103">
                  <c:v>7/28/1998</c:v>
                </c:pt>
                <c:pt idx="104">
                  <c:v>29-Jul-98</c:v>
                </c:pt>
                <c:pt idx="105">
                  <c:v>30-Jul-98</c:v>
                </c:pt>
                <c:pt idx="106">
                  <c:v>31-Jul-98</c:v>
                </c:pt>
                <c:pt idx="107">
                  <c:v>3-Aug-98</c:v>
                </c:pt>
                <c:pt idx="108">
                  <c:v>4-Aug-98</c:v>
                </c:pt>
                <c:pt idx="109">
                  <c:v>5-Aug-98</c:v>
                </c:pt>
                <c:pt idx="110">
                  <c:v>6-Aug-98</c:v>
                </c:pt>
                <c:pt idx="111">
                  <c:v>7-Aug-98</c:v>
                </c:pt>
                <c:pt idx="112">
                  <c:v>10-Aug-98</c:v>
                </c:pt>
                <c:pt idx="113">
                  <c:v>11-Aug-98</c:v>
                </c:pt>
                <c:pt idx="114">
                  <c:v>12-Aug-98</c:v>
                </c:pt>
                <c:pt idx="115">
                  <c:v>13-Aug-98</c:v>
                </c:pt>
                <c:pt idx="116">
                  <c:v>14-Aug-98</c:v>
                </c:pt>
                <c:pt idx="117">
                  <c:v>17-Aug-98</c:v>
                </c:pt>
                <c:pt idx="118">
                  <c:v>18-Aug-98</c:v>
                </c:pt>
                <c:pt idx="119">
                  <c:v>19-Aug-98</c:v>
                </c:pt>
                <c:pt idx="120">
                  <c:v>20-Aug-98</c:v>
                </c:pt>
                <c:pt idx="121">
                  <c:v>21-Aug-98</c:v>
                </c:pt>
                <c:pt idx="122">
                  <c:v>24-Aug-98</c:v>
                </c:pt>
                <c:pt idx="123">
                  <c:v>25-Aug-98</c:v>
                </c:pt>
                <c:pt idx="124">
                  <c:v>26-Aug-98</c:v>
                </c:pt>
                <c:pt idx="125">
                  <c:v>27-Aug-98</c:v>
                </c:pt>
                <c:pt idx="126">
                  <c:v>28-Aug-98</c:v>
                </c:pt>
                <c:pt idx="127">
                  <c:v>31-Aug-98</c:v>
                </c:pt>
                <c:pt idx="128">
                  <c:v>1-Sep-98</c:v>
                </c:pt>
                <c:pt idx="129">
                  <c:v>2-Sep-98</c:v>
                </c:pt>
                <c:pt idx="130">
                  <c:v>3-Sep-98</c:v>
                </c:pt>
                <c:pt idx="131">
                  <c:v>4-Sep-98</c:v>
                </c:pt>
                <c:pt idx="132">
                  <c:v>8-Sep-98</c:v>
                </c:pt>
                <c:pt idx="133">
                  <c:v>9-Sep-98</c:v>
                </c:pt>
                <c:pt idx="134">
                  <c:v>10-Sep-98</c:v>
                </c:pt>
                <c:pt idx="135">
                  <c:v>11-Sep-98</c:v>
                </c:pt>
                <c:pt idx="136">
                  <c:v>14-Sep-98</c:v>
                </c:pt>
                <c:pt idx="137">
                  <c:v>15-Sep-98</c:v>
                </c:pt>
                <c:pt idx="138">
                  <c:v>16-Sep-98</c:v>
                </c:pt>
                <c:pt idx="139">
                  <c:v>17-Sep-98</c:v>
                </c:pt>
                <c:pt idx="140">
                  <c:v>18-Sep-98</c:v>
                </c:pt>
                <c:pt idx="141">
                  <c:v>21-Sep-98</c:v>
                </c:pt>
                <c:pt idx="142">
                  <c:v>22-Sep-98</c:v>
                </c:pt>
                <c:pt idx="143">
                  <c:v>23-Sep-98</c:v>
                </c:pt>
                <c:pt idx="144">
                  <c:v>24-Sep-98</c:v>
                </c:pt>
                <c:pt idx="145">
                  <c:v>25-Sep-98</c:v>
                </c:pt>
                <c:pt idx="146">
                  <c:v>28-Sep-98</c:v>
                </c:pt>
                <c:pt idx="147">
                  <c:v>29-Sep-98</c:v>
                </c:pt>
                <c:pt idx="148">
                  <c:v>30-Sep-98</c:v>
                </c:pt>
                <c:pt idx="149">
                  <c:v>1-Oct-98</c:v>
                </c:pt>
                <c:pt idx="150">
                  <c:v>2-Oct-98</c:v>
                </c:pt>
                <c:pt idx="151">
                  <c:v>5-Oct-98</c:v>
                </c:pt>
                <c:pt idx="152">
                  <c:v>6-Oct-98</c:v>
                </c:pt>
                <c:pt idx="153">
                  <c:v>7-Oct-98</c:v>
                </c:pt>
                <c:pt idx="154">
                  <c:v>8-Oct-98</c:v>
                </c:pt>
                <c:pt idx="155">
                  <c:v>9-Oct-98</c:v>
                </c:pt>
                <c:pt idx="156">
                  <c:v>12-Oct-98</c:v>
                </c:pt>
                <c:pt idx="157">
                  <c:v>13-Oct-98</c:v>
                </c:pt>
                <c:pt idx="158">
                  <c:v>14-Oct-98</c:v>
                </c:pt>
                <c:pt idx="159">
                  <c:v>15-Oct-98</c:v>
                </c:pt>
                <c:pt idx="160">
                  <c:v>16-Oct-98</c:v>
                </c:pt>
                <c:pt idx="161">
                  <c:v>19-Oct-98</c:v>
                </c:pt>
                <c:pt idx="162">
                  <c:v>20-Oct-98</c:v>
                </c:pt>
                <c:pt idx="163">
                  <c:v>21-Oct-98</c:v>
                </c:pt>
                <c:pt idx="164">
                  <c:v>22-Oct-98</c:v>
                </c:pt>
                <c:pt idx="165">
                  <c:v>23-Oct-98</c:v>
                </c:pt>
                <c:pt idx="166">
                  <c:v>26-Oct-98</c:v>
                </c:pt>
                <c:pt idx="167">
                  <c:v>27-Oct-98</c:v>
                </c:pt>
                <c:pt idx="168">
                  <c:v>28-Oct-98</c:v>
                </c:pt>
                <c:pt idx="169">
                  <c:v>29-Oct-98</c:v>
                </c:pt>
                <c:pt idx="170">
                  <c:v>30-Oct-98</c:v>
                </c:pt>
                <c:pt idx="171">
                  <c:v>2-Nov-98</c:v>
                </c:pt>
                <c:pt idx="172">
                  <c:v>3-Nov-98</c:v>
                </c:pt>
                <c:pt idx="173">
                  <c:v>4-Nov-98</c:v>
                </c:pt>
                <c:pt idx="174">
                  <c:v>5-Nov-98</c:v>
                </c:pt>
                <c:pt idx="175">
                  <c:v>6-Nov-98</c:v>
                </c:pt>
                <c:pt idx="176">
                  <c:v>9-Nov-98</c:v>
                </c:pt>
                <c:pt idx="177">
                  <c:v>10-Nov-98</c:v>
                </c:pt>
                <c:pt idx="178">
                  <c:v>11-Nov-98</c:v>
                </c:pt>
                <c:pt idx="179">
                  <c:v>12-Nov-98</c:v>
                </c:pt>
                <c:pt idx="180">
                  <c:v>13-Nov-98</c:v>
                </c:pt>
                <c:pt idx="181">
                  <c:v>16-Nov-98</c:v>
                </c:pt>
                <c:pt idx="182">
                  <c:v>17-Nov-98</c:v>
                </c:pt>
                <c:pt idx="183">
                  <c:v>18-Nov-98</c:v>
                </c:pt>
                <c:pt idx="184">
                  <c:v>19-Nov-98</c:v>
                </c:pt>
                <c:pt idx="185">
                  <c:v>20-Nov-98</c:v>
                </c:pt>
                <c:pt idx="186">
                  <c:v>23-Nov-98</c:v>
                </c:pt>
                <c:pt idx="187">
                  <c:v>24-Nov-98</c:v>
                </c:pt>
                <c:pt idx="188">
                  <c:v>25-Nov-98</c:v>
                </c:pt>
                <c:pt idx="189">
                  <c:v>27-Nov-98</c:v>
                </c:pt>
                <c:pt idx="190">
                  <c:v>30-Nov-98</c:v>
                </c:pt>
                <c:pt idx="191">
                  <c:v>1-Dec-98</c:v>
                </c:pt>
                <c:pt idx="192">
                  <c:v>2-Dec-98</c:v>
                </c:pt>
                <c:pt idx="193">
                  <c:v>3-Dec-98</c:v>
                </c:pt>
                <c:pt idx="194">
                  <c:v>4-Dec-98</c:v>
                </c:pt>
                <c:pt idx="195">
                  <c:v>7-Dec-98</c:v>
                </c:pt>
                <c:pt idx="196">
                  <c:v>8-Dec-98</c:v>
                </c:pt>
                <c:pt idx="197">
                  <c:v>9-Dec-98</c:v>
                </c:pt>
                <c:pt idx="198">
                  <c:v>10-Dec-98</c:v>
                </c:pt>
                <c:pt idx="199">
                  <c:v>11-Dec-98</c:v>
                </c:pt>
                <c:pt idx="200">
                  <c:v>14-Dec-98</c:v>
                </c:pt>
                <c:pt idx="201">
                  <c:v>15-Dec-98</c:v>
                </c:pt>
                <c:pt idx="202">
                  <c:v>16-Dec-98</c:v>
                </c:pt>
                <c:pt idx="203">
                  <c:v>17-Dec-98</c:v>
                </c:pt>
                <c:pt idx="204">
                  <c:v>18-Dec-98</c:v>
                </c:pt>
                <c:pt idx="205">
                  <c:v>21-Dec-98</c:v>
                </c:pt>
                <c:pt idx="206">
                  <c:v>22-Dec-98</c:v>
                </c:pt>
                <c:pt idx="207">
                  <c:v>23-Dec-98</c:v>
                </c:pt>
                <c:pt idx="208">
                  <c:v>24-Dec-98</c:v>
                </c:pt>
                <c:pt idx="209">
                  <c:v>28-Dec-98</c:v>
                </c:pt>
                <c:pt idx="210">
                  <c:v>29-Dec-98</c:v>
                </c:pt>
                <c:pt idx="211">
                  <c:v>30-Dec-98</c:v>
                </c:pt>
                <c:pt idx="212">
                  <c:v>31-Dec-98</c:v>
                </c:pt>
                <c:pt idx="213">
                  <c:v>4-Jan-99</c:v>
                </c:pt>
                <c:pt idx="214">
                  <c:v>5-Jan-99</c:v>
                </c:pt>
                <c:pt idx="215">
                  <c:v>6-Jan-99</c:v>
                </c:pt>
                <c:pt idx="216">
                  <c:v>7-Jan-99</c:v>
                </c:pt>
                <c:pt idx="217">
                  <c:v>8-Jan-99</c:v>
                </c:pt>
                <c:pt idx="218">
                  <c:v>11-Jan-99</c:v>
                </c:pt>
                <c:pt idx="219">
                  <c:v>12-Jan-99</c:v>
                </c:pt>
                <c:pt idx="220">
                  <c:v>13-Jan-99</c:v>
                </c:pt>
                <c:pt idx="221">
                  <c:v>14-Jan-99</c:v>
                </c:pt>
                <c:pt idx="222">
                  <c:v>15-Jan-99</c:v>
                </c:pt>
                <c:pt idx="223">
                  <c:v>19-Jan-99</c:v>
                </c:pt>
                <c:pt idx="224">
                  <c:v>20-Jan-99</c:v>
                </c:pt>
                <c:pt idx="225">
                  <c:v>21-Jan-99</c:v>
                </c:pt>
                <c:pt idx="226">
                  <c:v>22-Jan-99</c:v>
                </c:pt>
                <c:pt idx="227">
                  <c:v>25-Jan-99</c:v>
                </c:pt>
                <c:pt idx="228">
                  <c:v>26-Jan-99</c:v>
                </c:pt>
                <c:pt idx="229">
                  <c:v>27-Jan-99</c:v>
                </c:pt>
                <c:pt idx="230">
                  <c:v>28-Jan-99</c:v>
                </c:pt>
                <c:pt idx="231">
                  <c:v>29-Jan-99</c:v>
                </c:pt>
                <c:pt idx="232">
                  <c:v>1-Feb-99</c:v>
                </c:pt>
                <c:pt idx="233">
                  <c:v>2-Feb-99</c:v>
                </c:pt>
                <c:pt idx="234">
                  <c:v>3-Feb-99</c:v>
                </c:pt>
                <c:pt idx="235">
                  <c:v>4-Feb-99</c:v>
                </c:pt>
                <c:pt idx="236">
                  <c:v>5-Feb-99</c:v>
                </c:pt>
                <c:pt idx="237">
                  <c:v>8-Feb-99</c:v>
                </c:pt>
                <c:pt idx="238">
                  <c:v>9-Feb-99</c:v>
                </c:pt>
                <c:pt idx="239">
                  <c:v>10-Feb-99</c:v>
                </c:pt>
                <c:pt idx="240">
                  <c:v>11-Feb-99</c:v>
                </c:pt>
                <c:pt idx="241">
                  <c:v>12-Feb-99</c:v>
                </c:pt>
                <c:pt idx="242">
                  <c:v>16-Feb-99</c:v>
                </c:pt>
                <c:pt idx="243">
                  <c:v>17-Feb-99</c:v>
                </c:pt>
                <c:pt idx="244">
                  <c:v>18-Feb-99</c:v>
                </c:pt>
                <c:pt idx="245">
                  <c:v>19-Feb-99</c:v>
                </c:pt>
                <c:pt idx="246">
                  <c:v>22-Feb-99</c:v>
                </c:pt>
                <c:pt idx="247">
                  <c:v>23-Feb-99</c:v>
                </c:pt>
                <c:pt idx="248">
                  <c:v>24-Feb-99</c:v>
                </c:pt>
                <c:pt idx="249">
                  <c:v>25-Feb-99</c:v>
                </c:pt>
                <c:pt idx="250">
                  <c:v>26-Feb-99</c:v>
                </c:pt>
                <c:pt idx="251">
                  <c:v>1-Mar-99</c:v>
                </c:pt>
                <c:pt idx="252">
                  <c:v>2-Mar-99</c:v>
                </c:pt>
                <c:pt idx="253">
                  <c:v>3-Mar-99</c:v>
                </c:pt>
                <c:pt idx="254">
                  <c:v>4-Mar-99</c:v>
                </c:pt>
                <c:pt idx="255">
                  <c:v>5-Mar-99</c:v>
                </c:pt>
                <c:pt idx="256">
                  <c:v>8-Mar-99</c:v>
                </c:pt>
                <c:pt idx="257">
                  <c:v>9-Mar-99</c:v>
                </c:pt>
                <c:pt idx="258">
                  <c:v>10-Mar-99</c:v>
                </c:pt>
                <c:pt idx="259">
                  <c:v>11-Mar-99</c:v>
                </c:pt>
                <c:pt idx="260">
                  <c:v>12-Mar-99</c:v>
                </c:pt>
                <c:pt idx="261">
                  <c:v>15-Mar-99</c:v>
                </c:pt>
                <c:pt idx="262">
                  <c:v>16-Mar-99</c:v>
                </c:pt>
                <c:pt idx="263">
                  <c:v>17-Mar-99</c:v>
                </c:pt>
                <c:pt idx="264">
                  <c:v>18-Mar-99</c:v>
                </c:pt>
                <c:pt idx="265">
                  <c:v>19-Mar-99</c:v>
                </c:pt>
                <c:pt idx="266">
                  <c:v>22-Mar-99</c:v>
                </c:pt>
                <c:pt idx="267">
                  <c:v>23-Mar-99</c:v>
                </c:pt>
                <c:pt idx="268">
                  <c:v>24-Mar-99</c:v>
                </c:pt>
                <c:pt idx="269">
                  <c:v>25-Mar-99</c:v>
                </c:pt>
                <c:pt idx="270">
                  <c:v>26-Mar-99</c:v>
                </c:pt>
                <c:pt idx="271">
                  <c:v>29-Mar-99</c:v>
                </c:pt>
                <c:pt idx="272">
                  <c:v>30-Mar-99</c:v>
                </c:pt>
                <c:pt idx="273">
                  <c:v>31-Mar-99</c:v>
                </c:pt>
                <c:pt idx="274">
                  <c:v>1-Apr-99</c:v>
                </c:pt>
                <c:pt idx="275">
                  <c:v>5-Apr-99</c:v>
                </c:pt>
                <c:pt idx="276">
                  <c:v>6-Apr-99</c:v>
                </c:pt>
                <c:pt idx="277">
                  <c:v>7-Apr-99</c:v>
                </c:pt>
                <c:pt idx="278">
                  <c:v>8-Apr-99</c:v>
                </c:pt>
                <c:pt idx="279">
                  <c:v>9-Apr-99</c:v>
                </c:pt>
                <c:pt idx="280">
                  <c:v>12-Apr-99</c:v>
                </c:pt>
                <c:pt idx="281">
                  <c:v>13-Apr-99</c:v>
                </c:pt>
                <c:pt idx="282">
                  <c:v>14-Apr-99</c:v>
                </c:pt>
                <c:pt idx="283">
                  <c:v>15-Apr-99</c:v>
                </c:pt>
                <c:pt idx="284">
                  <c:v>16-Apr-99</c:v>
                </c:pt>
                <c:pt idx="285">
                  <c:v>19-Apr-99</c:v>
                </c:pt>
                <c:pt idx="286">
                  <c:v>20-Apr-99</c:v>
                </c:pt>
                <c:pt idx="287">
                  <c:v>21-Apr-99</c:v>
                </c:pt>
                <c:pt idx="288">
                  <c:v>22-Apr-99</c:v>
                </c:pt>
                <c:pt idx="289">
                  <c:v>23-Apr-99</c:v>
                </c:pt>
                <c:pt idx="290">
                  <c:v>26-Apr-99</c:v>
                </c:pt>
                <c:pt idx="291">
                  <c:v>27-Apr-99</c:v>
                </c:pt>
                <c:pt idx="292">
                  <c:v>28-Apr-99</c:v>
                </c:pt>
                <c:pt idx="293">
                  <c:v>29-Apr-99</c:v>
                </c:pt>
                <c:pt idx="294">
                  <c:v>30-Apr-99</c:v>
                </c:pt>
                <c:pt idx="295">
                  <c:v>3-May-99</c:v>
                </c:pt>
                <c:pt idx="296">
                  <c:v>4-May-99</c:v>
                </c:pt>
                <c:pt idx="297">
                  <c:v>5-May-99</c:v>
                </c:pt>
                <c:pt idx="298">
                  <c:v>6-May-99</c:v>
                </c:pt>
                <c:pt idx="299">
                  <c:v>7-May-99</c:v>
                </c:pt>
                <c:pt idx="300">
                  <c:v>10-May-99</c:v>
                </c:pt>
                <c:pt idx="301">
                  <c:v>11-May-99</c:v>
                </c:pt>
                <c:pt idx="302">
                  <c:v>12-May-99</c:v>
                </c:pt>
                <c:pt idx="303">
                  <c:v>13-May-99</c:v>
                </c:pt>
                <c:pt idx="304">
                  <c:v>14-May-99</c:v>
                </c:pt>
                <c:pt idx="305">
                  <c:v>17-May-99</c:v>
                </c:pt>
                <c:pt idx="306">
                  <c:v>18-May-99</c:v>
                </c:pt>
                <c:pt idx="307">
                  <c:v>19-May-99</c:v>
                </c:pt>
                <c:pt idx="308">
                  <c:v>20-May-99</c:v>
                </c:pt>
                <c:pt idx="309">
                  <c:v>21-May-99</c:v>
                </c:pt>
                <c:pt idx="310">
                  <c:v>24-May-99</c:v>
                </c:pt>
                <c:pt idx="311">
                  <c:v>25-May-99</c:v>
                </c:pt>
                <c:pt idx="312">
                  <c:v>26-May-99</c:v>
                </c:pt>
                <c:pt idx="313">
                  <c:v>27-May-99</c:v>
                </c:pt>
                <c:pt idx="314">
                  <c:v>28-May-99</c:v>
                </c:pt>
                <c:pt idx="315">
                  <c:v>1-Jun-99</c:v>
                </c:pt>
                <c:pt idx="316">
                  <c:v>2-Jun-99</c:v>
                </c:pt>
                <c:pt idx="317">
                  <c:v>3-Jun-99</c:v>
                </c:pt>
                <c:pt idx="318">
                  <c:v>4-Jun-99</c:v>
                </c:pt>
                <c:pt idx="319">
                  <c:v>7-Jun-99</c:v>
                </c:pt>
                <c:pt idx="320">
                  <c:v>8-Jun-99</c:v>
                </c:pt>
                <c:pt idx="321">
                  <c:v>9-Jun-99</c:v>
                </c:pt>
                <c:pt idx="322">
                  <c:v>10-Jun-99</c:v>
                </c:pt>
                <c:pt idx="323">
                  <c:v>11-Jun-99</c:v>
                </c:pt>
                <c:pt idx="324">
                  <c:v>14-Jun-99</c:v>
                </c:pt>
                <c:pt idx="325">
                  <c:v>15-Jun-99</c:v>
                </c:pt>
                <c:pt idx="326">
                  <c:v>16-Jun-99</c:v>
                </c:pt>
                <c:pt idx="327">
                  <c:v>17-Jun-99</c:v>
                </c:pt>
                <c:pt idx="328">
                  <c:v>18-Jun-99</c:v>
                </c:pt>
                <c:pt idx="329">
                  <c:v>21-Jun-99</c:v>
                </c:pt>
                <c:pt idx="330">
                  <c:v>22-Jun-99</c:v>
                </c:pt>
                <c:pt idx="331">
                  <c:v>23-Jun-99</c:v>
                </c:pt>
                <c:pt idx="332">
                  <c:v>24-Jun-99</c:v>
                </c:pt>
                <c:pt idx="333">
                  <c:v>25-Jun-99</c:v>
                </c:pt>
                <c:pt idx="334">
                  <c:v>28-Jun-99</c:v>
                </c:pt>
                <c:pt idx="335">
                  <c:v>29-Jun-99</c:v>
                </c:pt>
                <c:pt idx="336">
                  <c:v>30-Jun-99</c:v>
                </c:pt>
                <c:pt idx="337">
                  <c:v>1-Jul-99</c:v>
                </c:pt>
                <c:pt idx="338">
                  <c:v>2-Jul-99</c:v>
                </c:pt>
                <c:pt idx="339">
                  <c:v>6-Jul-99</c:v>
                </c:pt>
                <c:pt idx="340">
                  <c:v>7-Jul-99</c:v>
                </c:pt>
                <c:pt idx="341">
                  <c:v>8-Jul-99</c:v>
                </c:pt>
                <c:pt idx="342">
                  <c:v>9-Jul-99</c:v>
                </c:pt>
                <c:pt idx="343">
                  <c:v>12-Jul-99</c:v>
                </c:pt>
                <c:pt idx="344">
                  <c:v>13-Jul-99</c:v>
                </c:pt>
                <c:pt idx="345">
                  <c:v>14-Jul-99</c:v>
                </c:pt>
                <c:pt idx="346">
                  <c:v>15-Jul-99</c:v>
                </c:pt>
                <c:pt idx="347">
                  <c:v>16-Jul-99</c:v>
                </c:pt>
                <c:pt idx="348">
                  <c:v>19-Jul-99</c:v>
                </c:pt>
                <c:pt idx="349">
                  <c:v>20-Jul-99</c:v>
                </c:pt>
                <c:pt idx="350">
                  <c:v>21-Jul-99</c:v>
                </c:pt>
                <c:pt idx="351">
                  <c:v>22-Jul-99</c:v>
                </c:pt>
                <c:pt idx="352">
                  <c:v>23-Jul-99</c:v>
                </c:pt>
                <c:pt idx="353">
                  <c:v>26-Jul-99</c:v>
                </c:pt>
                <c:pt idx="354">
                  <c:v>27-Jul-99</c:v>
                </c:pt>
                <c:pt idx="355">
                  <c:v>28-Jul-99</c:v>
                </c:pt>
                <c:pt idx="356">
                  <c:v>29-Jul-99</c:v>
                </c:pt>
                <c:pt idx="357">
                  <c:v>30-Jul-99</c:v>
                </c:pt>
                <c:pt idx="358">
                  <c:v>2-Aug-99</c:v>
                </c:pt>
                <c:pt idx="359">
                  <c:v>3-Aug-99</c:v>
                </c:pt>
                <c:pt idx="360">
                  <c:v>4-Aug-99</c:v>
                </c:pt>
                <c:pt idx="361">
                  <c:v>5-Aug-99</c:v>
                </c:pt>
                <c:pt idx="362">
                  <c:v>6-Aug-99</c:v>
                </c:pt>
                <c:pt idx="363">
                  <c:v>9-Aug-99</c:v>
                </c:pt>
                <c:pt idx="364">
                  <c:v>10-Aug-99</c:v>
                </c:pt>
                <c:pt idx="365">
                  <c:v>11-Aug-99</c:v>
                </c:pt>
                <c:pt idx="366">
                  <c:v>12-Aug-99</c:v>
                </c:pt>
                <c:pt idx="367">
                  <c:v>13-Aug-99</c:v>
                </c:pt>
                <c:pt idx="368">
                  <c:v>16-Aug-99</c:v>
                </c:pt>
                <c:pt idx="369">
                  <c:v>17-Aug-99</c:v>
                </c:pt>
                <c:pt idx="370">
                  <c:v>18-Aug-99</c:v>
                </c:pt>
                <c:pt idx="371">
                  <c:v>19-Aug-99</c:v>
                </c:pt>
                <c:pt idx="372">
                  <c:v>20-Aug-99</c:v>
                </c:pt>
                <c:pt idx="373">
                  <c:v>23-Aug-99</c:v>
                </c:pt>
                <c:pt idx="374">
                  <c:v>24-Aug-99</c:v>
                </c:pt>
                <c:pt idx="375">
                  <c:v>25-Aug-99</c:v>
                </c:pt>
                <c:pt idx="376">
                  <c:v>26-Aug-99</c:v>
                </c:pt>
                <c:pt idx="377">
                  <c:v>27-Aug-99</c:v>
                </c:pt>
                <c:pt idx="378">
                  <c:v>30-Aug-99</c:v>
                </c:pt>
                <c:pt idx="379">
                  <c:v>31-Aug-99</c:v>
                </c:pt>
                <c:pt idx="380">
                  <c:v>1-Sep-99</c:v>
                </c:pt>
                <c:pt idx="381">
                  <c:v>2-Sep-99</c:v>
                </c:pt>
                <c:pt idx="382">
                  <c:v>3-Sep-99</c:v>
                </c:pt>
                <c:pt idx="383">
                  <c:v>7-Sep-99</c:v>
                </c:pt>
                <c:pt idx="384">
                  <c:v>8-Sep-99</c:v>
                </c:pt>
                <c:pt idx="385">
                  <c:v>9-Sep-99</c:v>
                </c:pt>
                <c:pt idx="386">
                  <c:v>10-Sep-99</c:v>
                </c:pt>
                <c:pt idx="387">
                  <c:v>13-Sep-99</c:v>
                </c:pt>
                <c:pt idx="388">
                  <c:v>14-Sep-99</c:v>
                </c:pt>
                <c:pt idx="389">
                  <c:v>15-Sep-99</c:v>
                </c:pt>
                <c:pt idx="390">
                  <c:v>16-Sep-99</c:v>
                </c:pt>
                <c:pt idx="391">
                  <c:v>17-Sep-99</c:v>
                </c:pt>
                <c:pt idx="392">
                  <c:v>20-Sep-99</c:v>
                </c:pt>
                <c:pt idx="393">
                  <c:v>21-Sep-99</c:v>
                </c:pt>
                <c:pt idx="394">
                  <c:v>22-Sep-99</c:v>
                </c:pt>
                <c:pt idx="395">
                  <c:v>23-Sep-99</c:v>
                </c:pt>
                <c:pt idx="396">
                  <c:v>24-Sep-99</c:v>
                </c:pt>
                <c:pt idx="397">
                  <c:v>27-Sep-99</c:v>
                </c:pt>
                <c:pt idx="398">
                  <c:v>28-Sep-99</c:v>
                </c:pt>
                <c:pt idx="399">
                  <c:v>29-Sep-99</c:v>
                </c:pt>
                <c:pt idx="400">
                  <c:v>30-Sep-99</c:v>
                </c:pt>
                <c:pt idx="401">
                  <c:v>1-Oct-99</c:v>
                </c:pt>
                <c:pt idx="402">
                  <c:v>4-Oct-99</c:v>
                </c:pt>
                <c:pt idx="403">
                  <c:v>5-Oct-99</c:v>
                </c:pt>
                <c:pt idx="404">
                  <c:v>6-Oct-99</c:v>
                </c:pt>
                <c:pt idx="405">
                  <c:v>7-Oct-99</c:v>
                </c:pt>
                <c:pt idx="406">
                  <c:v>8-Oct-99</c:v>
                </c:pt>
                <c:pt idx="407">
                  <c:v>11-Oct-99</c:v>
                </c:pt>
                <c:pt idx="408">
                  <c:v>12-Oct-99</c:v>
                </c:pt>
                <c:pt idx="409">
                  <c:v>13-Oct-99</c:v>
                </c:pt>
                <c:pt idx="410">
                  <c:v>14-Oct-99</c:v>
                </c:pt>
                <c:pt idx="411">
                  <c:v>15-Oct-99</c:v>
                </c:pt>
                <c:pt idx="412">
                  <c:v>18-Oct-99</c:v>
                </c:pt>
                <c:pt idx="413">
                  <c:v>19-Oct-99</c:v>
                </c:pt>
                <c:pt idx="414">
                  <c:v>20-Oct-99</c:v>
                </c:pt>
                <c:pt idx="415">
                  <c:v>21-Oct-99</c:v>
                </c:pt>
                <c:pt idx="416">
                  <c:v>22-Oct-99</c:v>
                </c:pt>
                <c:pt idx="417">
                  <c:v>25-Oct-99</c:v>
                </c:pt>
                <c:pt idx="418">
                  <c:v>26-Oct-99</c:v>
                </c:pt>
                <c:pt idx="419">
                  <c:v>27-Oct-99</c:v>
                </c:pt>
                <c:pt idx="420">
                  <c:v>28-Oct-99</c:v>
                </c:pt>
                <c:pt idx="421">
                  <c:v>29-Oct-99</c:v>
                </c:pt>
                <c:pt idx="422">
                  <c:v>1-Nov-99</c:v>
                </c:pt>
                <c:pt idx="423">
                  <c:v>2-Nov-99</c:v>
                </c:pt>
                <c:pt idx="424">
                  <c:v>3-Nov-99</c:v>
                </c:pt>
                <c:pt idx="425">
                  <c:v>4-Nov-99</c:v>
                </c:pt>
                <c:pt idx="426">
                  <c:v>5-Nov-99</c:v>
                </c:pt>
                <c:pt idx="427">
                  <c:v>8-Nov-99</c:v>
                </c:pt>
                <c:pt idx="428">
                  <c:v>9-Nov-99</c:v>
                </c:pt>
                <c:pt idx="429">
                  <c:v>10-Nov-99</c:v>
                </c:pt>
                <c:pt idx="430">
                  <c:v>11-Nov-99</c:v>
                </c:pt>
                <c:pt idx="431">
                  <c:v>12-Nov-99</c:v>
                </c:pt>
                <c:pt idx="432">
                  <c:v>15-Nov-99</c:v>
                </c:pt>
                <c:pt idx="433">
                  <c:v>16-Nov-99</c:v>
                </c:pt>
                <c:pt idx="434">
                  <c:v>17-Nov-99</c:v>
                </c:pt>
                <c:pt idx="435">
                  <c:v>18-Nov-99</c:v>
                </c:pt>
                <c:pt idx="436">
                  <c:v>19-Nov-99</c:v>
                </c:pt>
                <c:pt idx="437">
                  <c:v>22-Nov-99</c:v>
                </c:pt>
                <c:pt idx="438">
                  <c:v>23-Nov-99</c:v>
                </c:pt>
                <c:pt idx="439">
                  <c:v>24-Nov-99</c:v>
                </c:pt>
                <c:pt idx="440">
                  <c:v>26-Nov-99</c:v>
                </c:pt>
                <c:pt idx="441">
                  <c:v>29-Nov-99</c:v>
                </c:pt>
                <c:pt idx="442">
                  <c:v>30-Nov-99</c:v>
                </c:pt>
                <c:pt idx="443">
                  <c:v>1-Dec-99</c:v>
                </c:pt>
                <c:pt idx="444">
                  <c:v>2-Dec-99</c:v>
                </c:pt>
                <c:pt idx="445">
                  <c:v>3-Dec-99</c:v>
                </c:pt>
                <c:pt idx="446">
                  <c:v>6-Dec-99</c:v>
                </c:pt>
                <c:pt idx="447">
                  <c:v>7-Dec-99</c:v>
                </c:pt>
                <c:pt idx="448">
                  <c:v>8-Dec-99</c:v>
                </c:pt>
                <c:pt idx="449">
                  <c:v>9-Dec-99</c:v>
                </c:pt>
                <c:pt idx="450">
                  <c:v>10-Dec-99</c:v>
                </c:pt>
                <c:pt idx="451">
                  <c:v>13-Dec-99</c:v>
                </c:pt>
                <c:pt idx="452">
                  <c:v>14-Dec-99</c:v>
                </c:pt>
                <c:pt idx="453">
                  <c:v>15-Dec-99</c:v>
                </c:pt>
                <c:pt idx="454">
                  <c:v>16-Dec-99</c:v>
                </c:pt>
                <c:pt idx="455">
                  <c:v>17-Dec-99</c:v>
                </c:pt>
                <c:pt idx="456">
                  <c:v>20-Dec-99</c:v>
                </c:pt>
                <c:pt idx="457">
                  <c:v>21-Dec-99</c:v>
                </c:pt>
                <c:pt idx="458">
                  <c:v>22-Dec-99</c:v>
                </c:pt>
                <c:pt idx="459">
                  <c:v>23-Dec-99</c:v>
                </c:pt>
                <c:pt idx="460">
                  <c:v>27-Dec-99</c:v>
                </c:pt>
                <c:pt idx="461">
                  <c:v>28-Dec-99</c:v>
                </c:pt>
                <c:pt idx="462">
                  <c:v>29-Dec-99</c:v>
                </c:pt>
                <c:pt idx="463">
                  <c:v>30-Dec-99</c:v>
                </c:pt>
                <c:pt idx="464">
                  <c:v>31-Dec-99</c:v>
                </c:pt>
                <c:pt idx="465">
                  <c:v>3-Jan-00</c:v>
                </c:pt>
                <c:pt idx="466">
                  <c:v>4-Jan-00</c:v>
                </c:pt>
                <c:pt idx="467">
                  <c:v>5-Jan-00</c:v>
                </c:pt>
                <c:pt idx="468">
                  <c:v>6-Jan-00</c:v>
                </c:pt>
                <c:pt idx="469">
                  <c:v>7-Jan-00</c:v>
                </c:pt>
                <c:pt idx="470">
                  <c:v>10-Jan-00</c:v>
                </c:pt>
                <c:pt idx="471">
                  <c:v>11-Jan-00</c:v>
                </c:pt>
                <c:pt idx="472">
                  <c:v>12-Jan-00</c:v>
                </c:pt>
                <c:pt idx="473">
                  <c:v>13-Jan-00</c:v>
                </c:pt>
                <c:pt idx="474">
                  <c:v>14-Jan-00</c:v>
                </c:pt>
                <c:pt idx="475">
                  <c:v>18-Jan-00</c:v>
                </c:pt>
                <c:pt idx="476">
                  <c:v>19-Jan-00</c:v>
                </c:pt>
                <c:pt idx="477">
                  <c:v>20-Jan-00</c:v>
                </c:pt>
                <c:pt idx="478">
                  <c:v>21-Jan-00</c:v>
                </c:pt>
                <c:pt idx="479">
                  <c:v>24-Jan-00</c:v>
                </c:pt>
                <c:pt idx="480">
                  <c:v>25-Jan-00</c:v>
                </c:pt>
                <c:pt idx="481">
                  <c:v>26-Jan-00</c:v>
                </c:pt>
                <c:pt idx="482">
                  <c:v>27-Jan-00</c:v>
                </c:pt>
                <c:pt idx="483">
                  <c:v>28-Jan-00</c:v>
                </c:pt>
                <c:pt idx="484">
                  <c:v>31-Jan-00</c:v>
                </c:pt>
                <c:pt idx="485">
                  <c:v>1-Feb-00</c:v>
                </c:pt>
                <c:pt idx="486">
                  <c:v>2-Feb-00</c:v>
                </c:pt>
                <c:pt idx="487">
                  <c:v>3-Feb-00</c:v>
                </c:pt>
                <c:pt idx="488">
                  <c:v>4-Feb-00</c:v>
                </c:pt>
                <c:pt idx="489">
                  <c:v>7-Feb-00</c:v>
                </c:pt>
                <c:pt idx="490">
                  <c:v>8-Feb-00</c:v>
                </c:pt>
                <c:pt idx="491">
                  <c:v>9-Feb-00</c:v>
                </c:pt>
                <c:pt idx="492">
                  <c:v>10-Feb-00</c:v>
                </c:pt>
                <c:pt idx="493">
                  <c:v>11-Feb-00</c:v>
                </c:pt>
                <c:pt idx="494">
                  <c:v>14-Feb-00</c:v>
                </c:pt>
                <c:pt idx="495">
                  <c:v>15-Feb-00</c:v>
                </c:pt>
                <c:pt idx="496">
                  <c:v>16-Feb-00</c:v>
                </c:pt>
                <c:pt idx="497">
                  <c:v>17-Feb-00</c:v>
                </c:pt>
                <c:pt idx="498">
                  <c:v>18-Feb-00</c:v>
                </c:pt>
                <c:pt idx="499">
                  <c:v>22-Feb-00</c:v>
                </c:pt>
                <c:pt idx="500">
                  <c:v>23-Feb-00</c:v>
                </c:pt>
                <c:pt idx="501">
                  <c:v>24-Feb-00</c:v>
                </c:pt>
                <c:pt idx="502">
                  <c:v>25-Feb-00</c:v>
                </c:pt>
                <c:pt idx="503">
                  <c:v>28-Feb-00</c:v>
                </c:pt>
                <c:pt idx="504">
                  <c:v>29-Feb-00</c:v>
                </c:pt>
                <c:pt idx="505">
                  <c:v>1-Mar-00</c:v>
                </c:pt>
                <c:pt idx="506">
                  <c:v>2-Mar-00</c:v>
                </c:pt>
                <c:pt idx="507">
                  <c:v>3-Mar-00</c:v>
                </c:pt>
                <c:pt idx="508">
                  <c:v>6-Mar-00</c:v>
                </c:pt>
              </c:strCache>
            </c:strRef>
          </c:cat>
          <c:val>
            <c:numRef>
              <c:f>'Stock Data'!$B$2:$B$510</c:f>
              <c:numCache>
                <c:formatCode>_(* #,##0_);_(* \(#,##0\);_(* \-??_);_(@_)</c:formatCode>
                <c:ptCount val="509"/>
                <c:pt idx="0">
                  <c:v>30.414</c:v>
                </c:pt>
                <c:pt idx="1">
                  <c:v>30.4685</c:v>
                </c:pt>
                <c:pt idx="2">
                  <c:v>30.632</c:v>
                </c:pt>
                <c:pt idx="3">
                  <c:v>30.5775</c:v>
                </c:pt>
                <c:pt idx="4">
                  <c:v>31.0681</c:v>
                </c:pt>
                <c:pt idx="5">
                  <c:v>31.0681</c:v>
                </c:pt>
                <c:pt idx="6">
                  <c:v>31.4496</c:v>
                </c:pt>
                <c:pt idx="7">
                  <c:v>31.5041</c:v>
                </c:pt>
                <c:pt idx="8">
                  <c:v>31.0136</c:v>
                </c:pt>
                <c:pt idx="9">
                  <c:v>30.9591</c:v>
                </c:pt>
                <c:pt idx="10">
                  <c:v>31.3406</c:v>
                </c:pt>
                <c:pt idx="11">
                  <c:v>31.2861</c:v>
                </c:pt>
                <c:pt idx="12">
                  <c:v>31.0681</c:v>
                </c:pt>
                <c:pt idx="13">
                  <c:v>31.3406</c:v>
                </c:pt>
                <c:pt idx="14">
                  <c:v>31.7766</c:v>
                </c:pt>
                <c:pt idx="15">
                  <c:v>31.8857</c:v>
                </c:pt>
                <c:pt idx="16">
                  <c:v>32.4852</c:v>
                </c:pt>
                <c:pt idx="17">
                  <c:v>32.2127</c:v>
                </c:pt>
                <c:pt idx="18">
                  <c:v>31.8857</c:v>
                </c:pt>
                <c:pt idx="19">
                  <c:v>31.6131</c:v>
                </c:pt>
                <c:pt idx="20">
                  <c:v>31.8311</c:v>
                </c:pt>
                <c:pt idx="21">
                  <c:v>32.1582</c:v>
                </c:pt>
                <c:pt idx="22">
                  <c:v>31.9402</c:v>
                </c:pt>
                <c:pt idx="23">
                  <c:v>32.2127</c:v>
                </c:pt>
                <c:pt idx="24">
                  <c:v>31.9947</c:v>
                </c:pt>
                <c:pt idx="25">
                  <c:v>31.8311</c:v>
                </c:pt>
                <c:pt idx="26">
                  <c:v>31.7766</c:v>
                </c:pt>
                <c:pt idx="27">
                  <c:v>31.3406</c:v>
                </c:pt>
                <c:pt idx="28">
                  <c:v>31.4496</c:v>
                </c:pt>
                <c:pt idx="29">
                  <c:v>31.3406</c:v>
                </c:pt>
                <c:pt idx="30">
                  <c:v>31.6131</c:v>
                </c:pt>
                <c:pt idx="31">
                  <c:v>31.6676</c:v>
                </c:pt>
                <c:pt idx="32">
                  <c:v>31.1771</c:v>
                </c:pt>
                <c:pt idx="33">
                  <c:v>31.3951</c:v>
                </c:pt>
                <c:pt idx="34">
                  <c:v>31.2861</c:v>
                </c:pt>
                <c:pt idx="35">
                  <c:v>30.8501</c:v>
                </c:pt>
                <c:pt idx="36">
                  <c:v>30.7955</c:v>
                </c:pt>
                <c:pt idx="37">
                  <c:v>30.305</c:v>
                </c:pt>
                <c:pt idx="38">
                  <c:v>30.305</c:v>
                </c:pt>
                <c:pt idx="39">
                  <c:v>29.9235</c:v>
                </c:pt>
                <c:pt idx="40">
                  <c:v>29.6509</c:v>
                </c:pt>
                <c:pt idx="41">
                  <c:v>30.2143</c:v>
                </c:pt>
                <c:pt idx="42">
                  <c:v>30.8219</c:v>
                </c:pt>
                <c:pt idx="43">
                  <c:v>30.5458</c:v>
                </c:pt>
                <c:pt idx="44">
                  <c:v>30.4353</c:v>
                </c:pt>
                <c:pt idx="45">
                  <c:v>30.0486</c:v>
                </c:pt>
                <c:pt idx="46">
                  <c:v>29.5515</c:v>
                </c:pt>
                <c:pt idx="47">
                  <c:v>29.4963</c:v>
                </c:pt>
                <c:pt idx="48">
                  <c:v>29.5515</c:v>
                </c:pt>
                <c:pt idx="49">
                  <c:v>29.441</c:v>
                </c:pt>
                <c:pt idx="50">
                  <c:v>29.4963</c:v>
                </c:pt>
                <c:pt idx="51">
                  <c:v>29.2753</c:v>
                </c:pt>
                <c:pt idx="52">
                  <c:v>28.9991</c:v>
                </c:pt>
                <c:pt idx="53">
                  <c:v>28.9991</c:v>
                </c:pt>
                <c:pt idx="54">
                  <c:v>28.723</c:v>
                </c:pt>
                <c:pt idx="55">
                  <c:v>28.6125</c:v>
                </c:pt>
                <c:pt idx="56">
                  <c:v>28.8334</c:v>
                </c:pt>
                <c:pt idx="57">
                  <c:v>28.723</c:v>
                </c:pt>
                <c:pt idx="58">
                  <c:v>28.5573</c:v>
                </c:pt>
                <c:pt idx="59">
                  <c:v>28.1154</c:v>
                </c:pt>
                <c:pt idx="60">
                  <c:v>28.0049</c:v>
                </c:pt>
                <c:pt idx="61">
                  <c:v>28.2811</c:v>
                </c:pt>
                <c:pt idx="62">
                  <c:v>28.5573</c:v>
                </c:pt>
                <c:pt idx="63">
                  <c:v>29.7725</c:v>
                </c:pt>
                <c:pt idx="64">
                  <c:v>29.662</c:v>
                </c:pt>
                <c:pt idx="65">
                  <c:v>29.7172</c:v>
                </c:pt>
                <c:pt idx="66">
                  <c:v>29.662</c:v>
                </c:pt>
                <c:pt idx="67">
                  <c:v>30.2696</c:v>
                </c:pt>
                <c:pt idx="68">
                  <c:v>29.8829</c:v>
                </c:pt>
                <c:pt idx="69">
                  <c:v>30.1039</c:v>
                </c:pt>
                <c:pt idx="70">
                  <c:v>30.8219</c:v>
                </c:pt>
                <c:pt idx="71">
                  <c:v>31.0429</c:v>
                </c:pt>
                <c:pt idx="72">
                  <c:v>31.4295</c:v>
                </c:pt>
                <c:pt idx="73">
                  <c:v>31.3191</c:v>
                </c:pt>
                <c:pt idx="74">
                  <c:v>31.54</c:v>
                </c:pt>
                <c:pt idx="75">
                  <c:v>31.2086</c:v>
                </c:pt>
                <c:pt idx="76">
                  <c:v>31.2086</c:v>
                </c:pt>
                <c:pt idx="77">
                  <c:v>31.2638</c:v>
                </c:pt>
                <c:pt idx="78">
                  <c:v>30.8772</c:v>
                </c:pt>
                <c:pt idx="79">
                  <c:v>30.8772</c:v>
                </c:pt>
                <c:pt idx="80">
                  <c:v>30.8772</c:v>
                </c:pt>
                <c:pt idx="81">
                  <c:v>30.3248</c:v>
                </c:pt>
                <c:pt idx="82">
                  <c:v>30.6562</c:v>
                </c:pt>
                <c:pt idx="83">
                  <c:v>31.0429</c:v>
                </c:pt>
                <c:pt idx="84">
                  <c:v>30.9324</c:v>
                </c:pt>
                <c:pt idx="85">
                  <c:v>31.0981</c:v>
                </c:pt>
                <c:pt idx="86">
                  <c:v>30.8772</c:v>
                </c:pt>
                <c:pt idx="87">
                  <c:v>29.9382</c:v>
                </c:pt>
                <c:pt idx="88">
                  <c:v>29.7172</c:v>
                </c:pt>
                <c:pt idx="89">
                  <c:v>29.5515</c:v>
                </c:pt>
                <c:pt idx="90">
                  <c:v>29.2753</c:v>
                </c:pt>
                <c:pt idx="91">
                  <c:v>28.7782</c:v>
                </c:pt>
                <c:pt idx="92">
                  <c:v>28.6677</c:v>
                </c:pt>
                <c:pt idx="93">
                  <c:v>28.8334</c:v>
                </c:pt>
                <c:pt idx="94">
                  <c:v>28.723</c:v>
                </c:pt>
                <c:pt idx="95">
                  <c:v>28.7782</c:v>
                </c:pt>
                <c:pt idx="96">
                  <c:v>28.8887</c:v>
                </c:pt>
                <c:pt idx="97">
                  <c:v>28.8334</c:v>
                </c:pt>
                <c:pt idx="98">
                  <c:v>28.5573</c:v>
                </c:pt>
                <c:pt idx="99">
                  <c:v>28.7782</c:v>
                </c:pt>
                <c:pt idx="100">
                  <c:v>28.2811</c:v>
                </c:pt>
                <c:pt idx="101">
                  <c:v>28.2811</c:v>
                </c:pt>
                <c:pt idx="102">
                  <c:v>28.2811</c:v>
                </c:pt>
                <c:pt idx="103">
                  <c:v>28.3915</c:v>
                </c:pt>
                <c:pt idx="104">
                  <c:v>28.2258</c:v>
                </c:pt>
                <c:pt idx="105">
                  <c:v>28.3363</c:v>
                </c:pt>
                <c:pt idx="106">
                  <c:v>27.8944</c:v>
                </c:pt>
                <c:pt idx="107">
                  <c:v>28.1154</c:v>
                </c:pt>
                <c:pt idx="108">
                  <c:v>27.7904</c:v>
                </c:pt>
                <c:pt idx="109">
                  <c:v>28.2947</c:v>
                </c:pt>
                <c:pt idx="110">
                  <c:v>28.3507</c:v>
                </c:pt>
                <c:pt idx="111">
                  <c:v>28.6308</c:v>
                </c:pt>
                <c:pt idx="112">
                  <c:v>28.4627</c:v>
                </c:pt>
                <c:pt idx="113">
                  <c:v>28.2386</c:v>
                </c:pt>
                <c:pt idx="114">
                  <c:v>28.967</c:v>
                </c:pt>
                <c:pt idx="115">
                  <c:v>28.6869</c:v>
                </c:pt>
                <c:pt idx="116">
                  <c:v>28.4627</c:v>
                </c:pt>
                <c:pt idx="117">
                  <c:v>29.2471</c:v>
                </c:pt>
                <c:pt idx="118">
                  <c:v>29.2471</c:v>
                </c:pt>
                <c:pt idx="119">
                  <c:v>29.5833</c:v>
                </c:pt>
                <c:pt idx="120">
                  <c:v>29.5273</c:v>
                </c:pt>
                <c:pt idx="121">
                  <c:v>30.3677</c:v>
                </c:pt>
                <c:pt idx="122">
                  <c:v>31.1521</c:v>
                </c:pt>
                <c:pt idx="123">
                  <c:v>30.7039</c:v>
                </c:pt>
                <c:pt idx="124">
                  <c:v>31.0961</c:v>
                </c:pt>
                <c:pt idx="125">
                  <c:v>30.4798</c:v>
                </c:pt>
                <c:pt idx="126">
                  <c:v>31.0401</c:v>
                </c:pt>
                <c:pt idx="127">
                  <c:v>31.1521</c:v>
                </c:pt>
                <c:pt idx="128">
                  <c:v>30.872</c:v>
                </c:pt>
                <c:pt idx="129">
                  <c:v>30.3117</c:v>
                </c:pt>
                <c:pt idx="130">
                  <c:v>30.0316</c:v>
                </c:pt>
                <c:pt idx="131">
                  <c:v>29.9755</c:v>
                </c:pt>
                <c:pt idx="132">
                  <c:v>29.6393</c:v>
                </c:pt>
                <c:pt idx="133">
                  <c:v>30.0316</c:v>
                </c:pt>
                <c:pt idx="134">
                  <c:v>31.1521</c:v>
                </c:pt>
                <c:pt idx="135">
                  <c:v>30.7039</c:v>
                </c:pt>
                <c:pt idx="136">
                  <c:v>31.0961</c:v>
                </c:pt>
                <c:pt idx="137">
                  <c:v>31.4883</c:v>
                </c:pt>
                <c:pt idx="138">
                  <c:v>31.6004</c:v>
                </c:pt>
                <c:pt idx="139">
                  <c:v>31.6564</c:v>
                </c:pt>
                <c:pt idx="140">
                  <c:v>31.7124</c:v>
                </c:pt>
                <c:pt idx="141">
                  <c:v>32.4408</c:v>
                </c:pt>
                <c:pt idx="142">
                  <c:v>32.4968</c:v>
                </c:pt>
                <c:pt idx="143">
                  <c:v>32.7209</c:v>
                </c:pt>
                <c:pt idx="144">
                  <c:v>32.2727</c:v>
                </c:pt>
                <c:pt idx="145">
                  <c:v>32.1046</c:v>
                </c:pt>
                <c:pt idx="146">
                  <c:v>32.5529</c:v>
                </c:pt>
                <c:pt idx="147">
                  <c:v>33.3373</c:v>
                </c:pt>
                <c:pt idx="148">
                  <c:v>34.2898</c:v>
                </c:pt>
                <c:pt idx="149">
                  <c:v>34.2898</c:v>
                </c:pt>
                <c:pt idx="150">
                  <c:v>34.682</c:v>
                </c:pt>
                <c:pt idx="151">
                  <c:v>34.5139</c:v>
                </c:pt>
                <c:pt idx="152">
                  <c:v>34.4578</c:v>
                </c:pt>
                <c:pt idx="153">
                  <c:v>34.6259</c:v>
                </c:pt>
                <c:pt idx="154">
                  <c:v>34.5139</c:v>
                </c:pt>
                <c:pt idx="155">
                  <c:v>33.0011</c:v>
                </c:pt>
                <c:pt idx="156">
                  <c:v>31.2642</c:v>
                </c:pt>
                <c:pt idx="157">
                  <c:v>31.9926</c:v>
                </c:pt>
                <c:pt idx="158">
                  <c:v>32.833</c:v>
                </c:pt>
                <c:pt idx="159">
                  <c:v>32.777</c:v>
                </c:pt>
                <c:pt idx="160">
                  <c:v>31.5443</c:v>
                </c:pt>
                <c:pt idx="161">
                  <c:v>31.6004</c:v>
                </c:pt>
                <c:pt idx="162">
                  <c:v>31.3762</c:v>
                </c:pt>
                <c:pt idx="163">
                  <c:v>31.4883</c:v>
                </c:pt>
                <c:pt idx="164">
                  <c:v>32.0105</c:v>
                </c:pt>
                <c:pt idx="165">
                  <c:v>31.8402</c:v>
                </c:pt>
                <c:pt idx="166">
                  <c:v>31.6132</c:v>
                </c:pt>
                <c:pt idx="167">
                  <c:v>31.1024</c:v>
                </c:pt>
                <c:pt idx="168">
                  <c:v>31.2726</c:v>
                </c:pt>
                <c:pt idx="169">
                  <c:v>31.2726</c:v>
                </c:pt>
                <c:pt idx="170">
                  <c:v>31.3294</c:v>
                </c:pt>
                <c:pt idx="171">
                  <c:v>31.9537</c:v>
                </c:pt>
                <c:pt idx="172">
                  <c:v>31.8402</c:v>
                </c:pt>
                <c:pt idx="173">
                  <c:v>31.7834</c:v>
                </c:pt>
                <c:pt idx="174">
                  <c:v>31.9537</c:v>
                </c:pt>
                <c:pt idx="175">
                  <c:v>32.0672</c:v>
                </c:pt>
                <c:pt idx="176">
                  <c:v>31.4429</c:v>
                </c:pt>
                <c:pt idx="177">
                  <c:v>31.6699</c:v>
                </c:pt>
                <c:pt idx="178">
                  <c:v>32.0672</c:v>
                </c:pt>
                <c:pt idx="179">
                  <c:v>32.124</c:v>
                </c:pt>
                <c:pt idx="180">
                  <c:v>32.351</c:v>
                </c:pt>
                <c:pt idx="181">
                  <c:v>32.9186</c:v>
                </c:pt>
                <c:pt idx="182">
                  <c:v>32.4645</c:v>
                </c:pt>
                <c:pt idx="183">
                  <c:v>32.1807</c:v>
                </c:pt>
                <c:pt idx="184">
                  <c:v>32.124</c:v>
                </c:pt>
                <c:pt idx="185">
                  <c:v>32.0672</c:v>
                </c:pt>
                <c:pt idx="186">
                  <c:v>32.2375</c:v>
                </c:pt>
                <c:pt idx="187">
                  <c:v>32.0672</c:v>
                </c:pt>
                <c:pt idx="188">
                  <c:v>32.351</c:v>
                </c:pt>
                <c:pt idx="189">
                  <c:v>32.124</c:v>
                </c:pt>
                <c:pt idx="190">
                  <c:v>31.3861</c:v>
                </c:pt>
                <c:pt idx="191">
                  <c:v>31.6132</c:v>
                </c:pt>
                <c:pt idx="192">
                  <c:v>31.6132</c:v>
                </c:pt>
                <c:pt idx="193">
                  <c:v>31.6132</c:v>
                </c:pt>
                <c:pt idx="194">
                  <c:v>32.2375</c:v>
                </c:pt>
                <c:pt idx="195">
                  <c:v>32.2942</c:v>
                </c:pt>
                <c:pt idx="196">
                  <c:v>32.578</c:v>
                </c:pt>
                <c:pt idx="197">
                  <c:v>32.0672</c:v>
                </c:pt>
                <c:pt idx="198">
                  <c:v>31.6132</c:v>
                </c:pt>
                <c:pt idx="199">
                  <c:v>31.8969</c:v>
                </c:pt>
                <c:pt idx="200">
                  <c:v>31.4429</c:v>
                </c:pt>
                <c:pt idx="201">
                  <c:v>31.1591</c:v>
                </c:pt>
                <c:pt idx="202">
                  <c:v>31.2726</c:v>
                </c:pt>
                <c:pt idx="203">
                  <c:v>31.7267</c:v>
                </c:pt>
                <c:pt idx="204">
                  <c:v>31.2726</c:v>
                </c:pt>
                <c:pt idx="205">
                  <c:v>31.6132</c:v>
                </c:pt>
                <c:pt idx="206">
                  <c:v>30.8753</c:v>
                </c:pt>
                <c:pt idx="207">
                  <c:v>31.1024</c:v>
                </c:pt>
                <c:pt idx="208">
                  <c:v>30.8753</c:v>
                </c:pt>
                <c:pt idx="209">
                  <c:v>30.9321</c:v>
                </c:pt>
                <c:pt idx="210">
                  <c:v>30.9889</c:v>
                </c:pt>
                <c:pt idx="211">
                  <c:v>30.8753</c:v>
                </c:pt>
                <c:pt idx="212">
                  <c:v>31.2159</c:v>
                </c:pt>
                <c:pt idx="213">
                  <c:v>31.3294</c:v>
                </c:pt>
                <c:pt idx="214">
                  <c:v>31.3294</c:v>
                </c:pt>
                <c:pt idx="215">
                  <c:v>31.2159</c:v>
                </c:pt>
                <c:pt idx="216">
                  <c:v>30.9321</c:v>
                </c:pt>
                <c:pt idx="217">
                  <c:v>31.0456</c:v>
                </c:pt>
                <c:pt idx="218">
                  <c:v>30.5916</c:v>
                </c:pt>
                <c:pt idx="219">
                  <c:v>30.5916</c:v>
                </c:pt>
                <c:pt idx="220">
                  <c:v>30.7618</c:v>
                </c:pt>
                <c:pt idx="221">
                  <c:v>30.478</c:v>
                </c:pt>
                <c:pt idx="222">
                  <c:v>30.6483</c:v>
                </c:pt>
                <c:pt idx="223">
                  <c:v>30.251</c:v>
                </c:pt>
                <c:pt idx="224">
                  <c:v>29.5132</c:v>
                </c:pt>
                <c:pt idx="225">
                  <c:v>29.797</c:v>
                </c:pt>
                <c:pt idx="226">
                  <c:v>30.0808</c:v>
                </c:pt>
                <c:pt idx="227">
                  <c:v>30.024</c:v>
                </c:pt>
                <c:pt idx="228">
                  <c:v>29.8537</c:v>
                </c:pt>
                <c:pt idx="229">
                  <c:v>29.3429</c:v>
                </c:pt>
                <c:pt idx="230">
                  <c:v>29.3544</c:v>
                </c:pt>
                <c:pt idx="231">
                  <c:v>28.8364</c:v>
                </c:pt>
                <c:pt idx="232">
                  <c:v>28.376</c:v>
                </c:pt>
                <c:pt idx="233">
                  <c:v>28.0882</c:v>
                </c:pt>
                <c:pt idx="234">
                  <c:v>28.4911</c:v>
                </c:pt>
                <c:pt idx="235">
                  <c:v>28.3184</c:v>
                </c:pt>
                <c:pt idx="236">
                  <c:v>28.376</c:v>
                </c:pt>
                <c:pt idx="237">
                  <c:v>28.6637</c:v>
                </c:pt>
                <c:pt idx="238">
                  <c:v>28.2033</c:v>
                </c:pt>
                <c:pt idx="239">
                  <c:v>28.7789</c:v>
                </c:pt>
                <c:pt idx="240">
                  <c:v>27.973</c:v>
                </c:pt>
                <c:pt idx="241">
                  <c:v>27.1672</c:v>
                </c:pt>
                <c:pt idx="242">
                  <c:v>27.8579</c:v>
                </c:pt>
                <c:pt idx="243">
                  <c:v>28.1457</c:v>
                </c:pt>
                <c:pt idx="244">
                  <c:v>28.4335</c:v>
                </c:pt>
                <c:pt idx="245">
                  <c:v>28.1457</c:v>
                </c:pt>
                <c:pt idx="246">
                  <c:v>27.6853</c:v>
                </c:pt>
                <c:pt idx="247">
                  <c:v>27.5701</c:v>
                </c:pt>
                <c:pt idx="248">
                  <c:v>27.2248</c:v>
                </c:pt>
                <c:pt idx="249">
                  <c:v>26.5917</c:v>
                </c:pt>
                <c:pt idx="250">
                  <c:v>26.8795</c:v>
                </c:pt>
                <c:pt idx="251">
                  <c:v>27.1097</c:v>
                </c:pt>
                <c:pt idx="252">
                  <c:v>27.1097</c:v>
                </c:pt>
                <c:pt idx="253">
                  <c:v>27.3399</c:v>
                </c:pt>
                <c:pt idx="254">
                  <c:v>27.6277</c:v>
                </c:pt>
                <c:pt idx="255">
                  <c:v>28.0882</c:v>
                </c:pt>
                <c:pt idx="256">
                  <c:v>27.5126</c:v>
                </c:pt>
                <c:pt idx="257">
                  <c:v>27.1672</c:v>
                </c:pt>
                <c:pt idx="258">
                  <c:v>26.7643</c:v>
                </c:pt>
                <c:pt idx="259">
                  <c:v>26.8795</c:v>
                </c:pt>
                <c:pt idx="260">
                  <c:v>27.3399</c:v>
                </c:pt>
                <c:pt idx="261">
                  <c:v>26.7643</c:v>
                </c:pt>
                <c:pt idx="262">
                  <c:v>26.8219</c:v>
                </c:pt>
                <c:pt idx="263">
                  <c:v>26.7068</c:v>
                </c:pt>
                <c:pt idx="264">
                  <c:v>26.5917</c:v>
                </c:pt>
                <c:pt idx="265">
                  <c:v>26.2463</c:v>
                </c:pt>
                <c:pt idx="266">
                  <c:v>26.0736</c:v>
                </c:pt>
                <c:pt idx="267">
                  <c:v>25.7283</c:v>
                </c:pt>
                <c:pt idx="268">
                  <c:v>26.5341</c:v>
                </c:pt>
                <c:pt idx="269">
                  <c:v>26.7068</c:v>
                </c:pt>
                <c:pt idx="270">
                  <c:v>26.0736</c:v>
                </c:pt>
                <c:pt idx="271">
                  <c:v>25.9585</c:v>
                </c:pt>
                <c:pt idx="272">
                  <c:v>25.4981</c:v>
                </c:pt>
                <c:pt idx="273">
                  <c:v>25.3254</c:v>
                </c:pt>
                <c:pt idx="274">
                  <c:v>25.9585</c:v>
                </c:pt>
                <c:pt idx="275">
                  <c:v>26.4765</c:v>
                </c:pt>
                <c:pt idx="276">
                  <c:v>26.3614</c:v>
                </c:pt>
                <c:pt idx="277">
                  <c:v>26.3614</c:v>
                </c:pt>
                <c:pt idx="278">
                  <c:v>26.5341</c:v>
                </c:pt>
                <c:pt idx="279">
                  <c:v>26.2463</c:v>
                </c:pt>
                <c:pt idx="280">
                  <c:v>26.5341</c:v>
                </c:pt>
                <c:pt idx="281">
                  <c:v>26.7068</c:v>
                </c:pt>
                <c:pt idx="282">
                  <c:v>26.3039</c:v>
                </c:pt>
                <c:pt idx="283">
                  <c:v>26.3614</c:v>
                </c:pt>
                <c:pt idx="284">
                  <c:v>26.8219</c:v>
                </c:pt>
                <c:pt idx="285">
                  <c:v>27.5126</c:v>
                </c:pt>
                <c:pt idx="286">
                  <c:v>28.0882</c:v>
                </c:pt>
                <c:pt idx="287">
                  <c:v>28.1457</c:v>
                </c:pt>
                <c:pt idx="288">
                  <c:v>27.8004</c:v>
                </c:pt>
                <c:pt idx="289">
                  <c:v>27.8579</c:v>
                </c:pt>
                <c:pt idx="290">
                  <c:v>27.455</c:v>
                </c:pt>
                <c:pt idx="291">
                  <c:v>27.455</c:v>
                </c:pt>
                <c:pt idx="292">
                  <c:v>27.6277</c:v>
                </c:pt>
                <c:pt idx="293">
                  <c:v>28.6328</c:v>
                </c:pt>
                <c:pt idx="294">
                  <c:v>27.8731</c:v>
                </c:pt>
                <c:pt idx="295">
                  <c:v>28.5159</c:v>
                </c:pt>
                <c:pt idx="296">
                  <c:v>28.2822</c:v>
                </c:pt>
                <c:pt idx="297">
                  <c:v>28.1653</c:v>
                </c:pt>
                <c:pt idx="298">
                  <c:v>28.8081</c:v>
                </c:pt>
                <c:pt idx="299">
                  <c:v>28.8081</c:v>
                </c:pt>
                <c:pt idx="300">
                  <c:v>28.9834</c:v>
                </c:pt>
                <c:pt idx="301">
                  <c:v>29.0418</c:v>
                </c:pt>
                <c:pt idx="302">
                  <c:v>29.4509</c:v>
                </c:pt>
                <c:pt idx="303">
                  <c:v>30.8533</c:v>
                </c:pt>
                <c:pt idx="304">
                  <c:v>30.5027</c:v>
                </c:pt>
                <c:pt idx="305">
                  <c:v>31.0286</c:v>
                </c:pt>
                <c:pt idx="306">
                  <c:v>31.2039</c:v>
                </c:pt>
                <c:pt idx="307">
                  <c:v>31.6129</c:v>
                </c:pt>
                <c:pt idx="308">
                  <c:v>31.2623</c:v>
                </c:pt>
                <c:pt idx="309">
                  <c:v>31.2039</c:v>
                </c:pt>
                <c:pt idx="310">
                  <c:v>31.496</c:v>
                </c:pt>
                <c:pt idx="311">
                  <c:v>31.6714</c:v>
                </c:pt>
                <c:pt idx="312">
                  <c:v>31.9635</c:v>
                </c:pt>
                <c:pt idx="313">
                  <c:v>31.4376</c:v>
                </c:pt>
                <c:pt idx="314">
                  <c:v>31.9051</c:v>
                </c:pt>
                <c:pt idx="315">
                  <c:v>30.9117</c:v>
                </c:pt>
                <c:pt idx="316">
                  <c:v>31.087</c:v>
                </c:pt>
                <c:pt idx="317">
                  <c:v>31.3207</c:v>
                </c:pt>
                <c:pt idx="318">
                  <c:v>31.6129</c:v>
                </c:pt>
                <c:pt idx="319">
                  <c:v>31.087</c:v>
                </c:pt>
                <c:pt idx="320">
                  <c:v>31.0286</c:v>
                </c:pt>
                <c:pt idx="321">
                  <c:v>31.0286</c:v>
                </c:pt>
                <c:pt idx="322">
                  <c:v>30.5027</c:v>
                </c:pt>
                <c:pt idx="323">
                  <c:v>30.4442</c:v>
                </c:pt>
                <c:pt idx="324">
                  <c:v>30.8533</c:v>
                </c:pt>
                <c:pt idx="325">
                  <c:v>31.6714</c:v>
                </c:pt>
                <c:pt idx="326">
                  <c:v>31.9051</c:v>
                </c:pt>
                <c:pt idx="327">
                  <c:v>31.496</c:v>
                </c:pt>
                <c:pt idx="328">
                  <c:v>31.3792</c:v>
                </c:pt>
                <c:pt idx="329">
                  <c:v>30.7948</c:v>
                </c:pt>
                <c:pt idx="330">
                  <c:v>31.0286</c:v>
                </c:pt>
                <c:pt idx="331">
                  <c:v>31.1454</c:v>
                </c:pt>
                <c:pt idx="332">
                  <c:v>31.0286</c:v>
                </c:pt>
                <c:pt idx="333">
                  <c:v>30.7948</c:v>
                </c:pt>
                <c:pt idx="334">
                  <c:v>30.9701</c:v>
                </c:pt>
                <c:pt idx="335">
                  <c:v>30.4442</c:v>
                </c:pt>
                <c:pt idx="336">
                  <c:v>29.9183</c:v>
                </c:pt>
                <c:pt idx="337">
                  <c:v>29.9768</c:v>
                </c:pt>
                <c:pt idx="338">
                  <c:v>30.3858</c:v>
                </c:pt>
                <c:pt idx="339">
                  <c:v>30.4442</c:v>
                </c:pt>
                <c:pt idx="340">
                  <c:v>30.2105</c:v>
                </c:pt>
                <c:pt idx="341">
                  <c:v>29.743</c:v>
                </c:pt>
                <c:pt idx="342">
                  <c:v>29.9183</c:v>
                </c:pt>
                <c:pt idx="343">
                  <c:v>29.5677</c:v>
                </c:pt>
                <c:pt idx="344">
                  <c:v>29.6262</c:v>
                </c:pt>
                <c:pt idx="345">
                  <c:v>29.5677</c:v>
                </c:pt>
                <c:pt idx="346">
                  <c:v>29.3924</c:v>
                </c:pt>
                <c:pt idx="347">
                  <c:v>29.1587</c:v>
                </c:pt>
                <c:pt idx="348">
                  <c:v>29.2755</c:v>
                </c:pt>
                <c:pt idx="349">
                  <c:v>29.1587</c:v>
                </c:pt>
                <c:pt idx="350">
                  <c:v>29.2171</c:v>
                </c:pt>
                <c:pt idx="351">
                  <c:v>29.5847</c:v>
                </c:pt>
                <c:pt idx="352">
                  <c:v>29.5847</c:v>
                </c:pt>
                <c:pt idx="353">
                  <c:v>29.4068</c:v>
                </c:pt>
                <c:pt idx="354">
                  <c:v>29.3475</c:v>
                </c:pt>
                <c:pt idx="355">
                  <c:v>28.7547</c:v>
                </c:pt>
                <c:pt idx="356">
                  <c:v>28.2211</c:v>
                </c:pt>
                <c:pt idx="357">
                  <c:v>28.3989</c:v>
                </c:pt>
                <c:pt idx="358">
                  <c:v>28.5768</c:v>
                </c:pt>
                <c:pt idx="359">
                  <c:v>28.5175</c:v>
                </c:pt>
                <c:pt idx="360">
                  <c:v>26.976</c:v>
                </c:pt>
                <c:pt idx="361">
                  <c:v>27.0946</c:v>
                </c:pt>
                <c:pt idx="362">
                  <c:v>26.8575</c:v>
                </c:pt>
                <c:pt idx="363">
                  <c:v>26.9167</c:v>
                </c:pt>
                <c:pt idx="364">
                  <c:v>26.5017</c:v>
                </c:pt>
                <c:pt idx="365">
                  <c:v>26.9167</c:v>
                </c:pt>
                <c:pt idx="366">
                  <c:v>26.2053</c:v>
                </c:pt>
                <c:pt idx="367">
                  <c:v>26.2646</c:v>
                </c:pt>
                <c:pt idx="368">
                  <c:v>26.4424</c:v>
                </c:pt>
                <c:pt idx="369">
                  <c:v>26.5017</c:v>
                </c:pt>
                <c:pt idx="370">
                  <c:v>27.0946</c:v>
                </c:pt>
                <c:pt idx="371">
                  <c:v>28.2211</c:v>
                </c:pt>
                <c:pt idx="372">
                  <c:v>28.3397</c:v>
                </c:pt>
                <c:pt idx="373">
                  <c:v>28.5175</c:v>
                </c:pt>
                <c:pt idx="374">
                  <c:v>28.814</c:v>
                </c:pt>
                <c:pt idx="375">
                  <c:v>29.5847</c:v>
                </c:pt>
                <c:pt idx="376">
                  <c:v>29.3475</c:v>
                </c:pt>
                <c:pt idx="377">
                  <c:v>29.5254</c:v>
                </c:pt>
                <c:pt idx="378">
                  <c:v>29.1104</c:v>
                </c:pt>
                <c:pt idx="379">
                  <c:v>28.814</c:v>
                </c:pt>
                <c:pt idx="380">
                  <c:v>28.5768</c:v>
                </c:pt>
                <c:pt idx="381">
                  <c:v>28.3989</c:v>
                </c:pt>
                <c:pt idx="382">
                  <c:v>29.0511</c:v>
                </c:pt>
                <c:pt idx="383">
                  <c:v>28.1025</c:v>
                </c:pt>
                <c:pt idx="384">
                  <c:v>27.9246</c:v>
                </c:pt>
                <c:pt idx="385">
                  <c:v>27.9246</c:v>
                </c:pt>
                <c:pt idx="386">
                  <c:v>28.4582</c:v>
                </c:pt>
                <c:pt idx="387">
                  <c:v>28.7547</c:v>
                </c:pt>
                <c:pt idx="388">
                  <c:v>28.5175</c:v>
                </c:pt>
                <c:pt idx="389">
                  <c:v>28.7547</c:v>
                </c:pt>
                <c:pt idx="390">
                  <c:v>28.5768</c:v>
                </c:pt>
                <c:pt idx="391">
                  <c:v>28.6361</c:v>
                </c:pt>
                <c:pt idx="392">
                  <c:v>27.9246</c:v>
                </c:pt>
                <c:pt idx="393">
                  <c:v>27.4503</c:v>
                </c:pt>
                <c:pt idx="394">
                  <c:v>27.2725</c:v>
                </c:pt>
                <c:pt idx="395">
                  <c:v>26.7982</c:v>
                </c:pt>
                <c:pt idx="396">
                  <c:v>26.7982</c:v>
                </c:pt>
                <c:pt idx="397">
                  <c:v>26.8575</c:v>
                </c:pt>
                <c:pt idx="398">
                  <c:v>26.4424</c:v>
                </c:pt>
                <c:pt idx="399">
                  <c:v>26.2646</c:v>
                </c:pt>
                <c:pt idx="400">
                  <c:v>26.8575</c:v>
                </c:pt>
                <c:pt idx="401">
                  <c:v>27.3318</c:v>
                </c:pt>
                <c:pt idx="402">
                  <c:v>27.7468</c:v>
                </c:pt>
                <c:pt idx="403">
                  <c:v>27.3318</c:v>
                </c:pt>
                <c:pt idx="404">
                  <c:v>27.2725</c:v>
                </c:pt>
                <c:pt idx="405">
                  <c:v>26.561</c:v>
                </c:pt>
                <c:pt idx="406">
                  <c:v>26.6203</c:v>
                </c:pt>
                <c:pt idx="407">
                  <c:v>26.4424</c:v>
                </c:pt>
                <c:pt idx="408">
                  <c:v>26.4424</c:v>
                </c:pt>
                <c:pt idx="409">
                  <c:v>26.6203</c:v>
                </c:pt>
                <c:pt idx="410">
                  <c:v>26.9167</c:v>
                </c:pt>
                <c:pt idx="411">
                  <c:v>26.561</c:v>
                </c:pt>
                <c:pt idx="412">
                  <c:v>26.3831</c:v>
                </c:pt>
                <c:pt idx="413">
                  <c:v>26.3239</c:v>
                </c:pt>
                <c:pt idx="414">
                  <c:v>26.561</c:v>
                </c:pt>
                <c:pt idx="415">
                  <c:v>26.6796</c:v>
                </c:pt>
                <c:pt idx="416">
                  <c:v>26.6203</c:v>
                </c:pt>
                <c:pt idx="417">
                  <c:v>26.9167</c:v>
                </c:pt>
                <c:pt idx="418">
                  <c:v>27.0353</c:v>
                </c:pt>
                <c:pt idx="419">
                  <c:v>27.9839</c:v>
                </c:pt>
                <c:pt idx="420">
                  <c:v>27.8756</c:v>
                </c:pt>
                <c:pt idx="421">
                  <c:v>27.2133</c:v>
                </c:pt>
                <c:pt idx="422">
                  <c:v>27.1531</c:v>
                </c:pt>
                <c:pt idx="423">
                  <c:v>27.0929</c:v>
                </c:pt>
                <c:pt idx="424">
                  <c:v>26.852</c:v>
                </c:pt>
                <c:pt idx="425">
                  <c:v>26.0092</c:v>
                </c:pt>
                <c:pt idx="426">
                  <c:v>26.1296</c:v>
                </c:pt>
                <c:pt idx="427">
                  <c:v>26.3704</c:v>
                </c:pt>
                <c:pt idx="428">
                  <c:v>26.852</c:v>
                </c:pt>
                <c:pt idx="429">
                  <c:v>26.6714</c:v>
                </c:pt>
                <c:pt idx="430">
                  <c:v>26.3102</c:v>
                </c:pt>
                <c:pt idx="431">
                  <c:v>26.3704</c:v>
                </c:pt>
                <c:pt idx="432">
                  <c:v>25.8887</c:v>
                </c:pt>
                <c:pt idx="433">
                  <c:v>25.8887</c:v>
                </c:pt>
                <c:pt idx="434">
                  <c:v>25.7683</c:v>
                </c:pt>
                <c:pt idx="435">
                  <c:v>25.4673</c:v>
                </c:pt>
                <c:pt idx="436">
                  <c:v>25.4071</c:v>
                </c:pt>
                <c:pt idx="437">
                  <c:v>25.0459</c:v>
                </c:pt>
                <c:pt idx="438">
                  <c:v>24.504</c:v>
                </c:pt>
                <c:pt idx="439">
                  <c:v>24.504</c:v>
                </c:pt>
                <c:pt idx="440">
                  <c:v>24.3836</c:v>
                </c:pt>
                <c:pt idx="441">
                  <c:v>23.9019</c:v>
                </c:pt>
                <c:pt idx="442">
                  <c:v>24.3836</c:v>
                </c:pt>
                <c:pt idx="443">
                  <c:v>24.4438</c:v>
                </c:pt>
                <c:pt idx="444">
                  <c:v>24.203</c:v>
                </c:pt>
                <c:pt idx="445">
                  <c:v>24.203</c:v>
                </c:pt>
                <c:pt idx="446">
                  <c:v>23.9621</c:v>
                </c:pt>
                <c:pt idx="447">
                  <c:v>23.7815</c:v>
                </c:pt>
                <c:pt idx="448">
                  <c:v>23.4805</c:v>
                </c:pt>
                <c:pt idx="449">
                  <c:v>23.1192</c:v>
                </c:pt>
                <c:pt idx="450">
                  <c:v>22.8784</c:v>
                </c:pt>
                <c:pt idx="451">
                  <c:v>22.8784</c:v>
                </c:pt>
                <c:pt idx="452">
                  <c:v>23.1795</c:v>
                </c:pt>
                <c:pt idx="453">
                  <c:v>23.2397</c:v>
                </c:pt>
                <c:pt idx="454">
                  <c:v>23.2397</c:v>
                </c:pt>
                <c:pt idx="455">
                  <c:v>23.2397</c:v>
                </c:pt>
                <c:pt idx="456">
                  <c:v>23.2397</c:v>
                </c:pt>
                <c:pt idx="457">
                  <c:v>23.2999</c:v>
                </c:pt>
                <c:pt idx="458">
                  <c:v>23.2397</c:v>
                </c:pt>
                <c:pt idx="459">
                  <c:v>23.2999</c:v>
                </c:pt>
                <c:pt idx="460">
                  <c:v>23.2397</c:v>
                </c:pt>
                <c:pt idx="461">
                  <c:v>23.2397</c:v>
                </c:pt>
                <c:pt idx="462">
                  <c:v>23.2999</c:v>
                </c:pt>
                <c:pt idx="463">
                  <c:v>23.1192</c:v>
                </c:pt>
                <c:pt idx="464">
                  <c:v>23.059</c:v>
                </c:pt>
                <c:pt idx="465">
                  <c:v>22.6376</c:v>
                </c:pt>
                <c:pt idx="466">
                  <c:v>22.758</c:v>
                </c:pt>
                <c:pt idx="467">
                  <c:v>23.6611</c:v>
                </c:pt>
                <c:pt idx="468">
                  <c:v>23.6611</c:v>
                </c:pt>
                <c:pt idx="469">
                  <c:v>23.8417</c:v>
                </c:pt>
                <c:pt idx="470">
                  <c:v>23.8417</c:v>
                </c:pt>
                <c:pt idx="471">
                  <c:v>23.7213</c:v>
                </c:pt>
                <c:pt idx="472">
                  <c:v>23.7213</c:v>
                </c:pt>
                <c:pt idx="473">
                  <c:v>23.5407</c:v>
                </c:pt>
                <c:pt idx="474">
                  <c:v>23.2397</c:v>
                </c:pt>
                <c:pt idx="475">
                  <c:v>23.2397</c:v>
                </c:pt>
                <c:pt idx="476">
                  <c:v>23.5407</c:v>
                </c:pt>
                <c:pt idx="477">
                  <c:v>23.6611</c:v>
                </c:pt>
                <c:pt idx="478">
                  <c:v>23.8417</c:v>
                </c:pt>
                <c:pt idx="479">
                  <c:v>24.0826</c:v>
                </c:pt>
                <c:pt idx="480">
                  <c:v>23.9019</c:v>
                </c:pt>
                <c:pt idx="481">
                  <c:v>24.0223</c:v>
                </c:pt>
                <c:pt idx="482">
                  <c:v>24.125</c:v>
                </c:pt>
                <c:pt idx="483">
                  <c:v>23.5625</c:v>
                </c:pt>
                <c:pt idx="484">
                  <c:v>24.875</c:v>
                </c:pt>
                <c:pt idx="485">
                  <c:v>25</c:v>
                </c:pt>
                <c:pt idx="486">
                  <c:v>25</c:v>
                </c:pt>
                <c:pt idx="487">
                  <c:v>25.4375</c:v>
                </c:pt>
                <c:pt idx="488">
                  <c:v>24.8125</c:v>
                </c:pt>
                <c:pt idx="489">
                  <c:v>24.5</c:v>
                </c:pt>
                <c:pt idx="490">
                  <c:v>24.8125</c:v>
                </c:pt>
                <c:pt idx="491">
                  <c:v>24.5625</c:v>
                </c:pt>
                <c:pt idx="492">
                  <c:v>24.3125</c:v>
                </c:pt>
                <c:pt idx="493">
                  <c:v>24.25</c:v>
                </c:pt>
                <c:pt idx="494">
                  <c:v>23.9375</c:v>
                </c:pt>
                <c:pt idx="495">
                  <c:v>23.8125</c:v>
                </c:pt>
                <c:pt idx="496">
                  <c:v>23.9375</c:v>
                </c:pt>
                <c:pt idx="497">
                  <c:v>23.5</c:v>
                </c:pt>
                <c:pt idx="498">
                  <c:v>22.9375</c:v>
                </c:pt>
                <c:pt idx="499">
                  <c:v>22.625</c:v>
                </c:pt>
                <c:pt idx="500">
                  <c:v>22.375</c:v>
                </c:pt>
                <c:pt idx="501">
                  <c:v>21.3125</c:v>
                </c:pt>
                <c:pt idx="502">
                  <c:v>21</c:v>
                </c:pt>
                <c:pt idx="503">
                  <c:v>21.375</c:v>
                </c:pt>
                <c:pt idx="504">
                  <c:v>21.375</c:v>
                </c:pt>
                <c:pt idx="505">
                  <c:v>21.0625</c:v>
                </c:pt>
                <c:pt idx="506">
                  <c:v>21.0625</c:v>
                </c:pt>
                <c:pt idx="507">
                  <c:v>21.4375</c:v>
                </c:pt>
                <c:pt idx="508">
                  <c:v>20.875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593590"/>
        <c:axId val="31044246"/>
      </c:lineChart>
      <c:catAx>
        <c:axId val="173288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551362"/>
        <c:crossesAt val="0"/>
        <c:auto val="1"/>
        <c:lblAlgn val="ctr"/>
        <c:lblOffset val="100"/>
        <c:noMultiLvlLbl val="0"/>
      </c:catAx>
      <c:valAx>
        <c:axId val="10551362"/>
        <c:scaling>
          <c:orientation val="minMax"/>
          <c:max val="345"/>
          <c:min val="26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DJ Utility Index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32889"/>
        <c:crossesAt val="1"/>
        <c:crossBetween val="midCat"/>
        <c:majorUnit val="20"/>
        <c:minorUnit val="5"/>
      </c:valAx>
      <c:catAx>
        <c:axId val="38593590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44246"/>
        <c:auto val="1"/>
        <c:lblAlgn val="ctr"/>
        <c:lblOffset val="100"/>
        <c:noMultiLvlLbl val="0"/>
      </c:catAx>
      <c:valAx>
        <c:axId val="31044246"/>
        <c:scaling>
          <c:orientation val="minMax"/>
          <c:min val="2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CIN Stock Price, $/share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593590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6136981785214"/>
          <c:y val="0.415817223198594"/>
          <c:w val="0.279156020769801"/>
          <c:h val="0.1550087873462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66600</xdr:rowOff>
    </xdr:from>
    <xdr:to>
      <xdr:col>5</xdr:col>
      <xdr:colOff>393120</xdr:colOff>
      <xdr:row>15</xdr:row>
      <xdr:rowOff>9360</xdr:rowOff>
    </xdr:to>
    <xdr:graphicFrame>
      <xdr:nvGraphicFramePr>
        <xdr:cNvPr id="0" name="Chart 1"/>
        <xdr:cNvGraphicFramePr/>
      </xdr:nvGraphicFramePr>
      <xdr:xfrm>
        <a:off x="0" y="466560"/>
        <a:ext cx="436752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1922040</xdr:colOff>
      <xdr:row>17</xdr:row>
      <xdr:rowOff>9360</xdr:rowOff>
    </xdr:from>
    <xdr:to>
      <xdr:col>6</xdr:col>
      <xdr:colOff>201600</xdr:colOff>
      <xdr:row>26</xdr:row>
      <xdr:rowOff>18720</xdr:rowOff>
    </xdr:to>
    <xdr:pic>
      <xdr:nvPicPr>
        <xdr:cNvPr id="1" name="Picture 25" descr=""/>
        <xdr:cNvPicPr/>
      </xdr:nvPicPr>
      <xdr:blipFill>
        <a:blip r:embed="rId1"/>
        <a:stretch/>
      </xdr:blipFill>
      <xdr:spPr>
        <a:xfrm>
          <a:off x="1922040" y="2885760"/>
          <a:ext cx="4699440" cy="15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orpdev/Corpdev/Novotny/SUNKING/models/new%20lgee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 Summary"/>
      <sheetName val="Overview"/>
      <sheetName val="Projects"/>
      <sheetName val="Deal Points"/>
      <sheetName val="Comp trd sum"/>
      <sheetName val="corp trns sum"/>
      <sheetName val="trading sum"/>
      <sheetName val="trading Comps"/>
      <sheetName val="transaction sum"/>
      <sheetName val="transaction comps"/>
      <sheetName val="Summary"/>
      <sheetName val="DIVESTITURE COMPS"/>
      <sheetName val="DCF of Generation"/>
      <sheetName val="KU"/>
      <sheetName val="Corp Ballance sht"/>
      <sheetName val="tax"/>
      <sheetName val="LG&amp;E Gas"/>
      <sheetName val="IPP&amp;WKE"/>
      <sheetName val="Proj"/>
      <sheetName val="LG&amp;E Electric"/>
      <sheetName val="new comps"/>
      <sheetName val="Comps"/>
      <sheetName val="P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comments" Target="../comments28.xml"/><Relationship Id="rId2" Type="http://schemas.openxmlformats.org/officeDocument/2006/relationships/vmlDrawing" Target="../drawings/vmlDrawing1.vm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comments" Target="../comments30.xml"/><Relationship Id="rId2" Type="http://schemas.openxmlformats.org/officeDocument/2006/relationships/vmlDrawing" Target="../drawings/vmlDrawing2.v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9.99"/>
    <col collapsed="false" customWidth="true" hidden="false" outlineLevel="0" max="4" min="3" style="1" width="9.28"/>
    <col collapsed="false" customWidth="true" hidden="false" outlineLevel="0" max="5" min="5" style="1" width="8.7"/>
    <col collapsed="false" customWidth="false" hidden="false" outlineLevel="0" max="7" min="6" style="1" width="9.14"/>
    <col collapsed="false" customWidth="true" hidden="false" outlineLevel="0" max="8" min="8" style="1" width="20.13"/>
    <col collapsed="false" customWidth="false" hidden="false" outlineLevel="0" max="9" min="9" style="1" width="9.14"/>
    <col collapsed="false" customWidth="true" hidden="false" outlineLevel="0" max="10" min="10" style="1" width="4.99"/>
    <col collapsed="false" customWidth="false" hidden="false" outlineLevel="0" max="11" min="11" style="1" width="9.14"/>
    <col collapsed="false" customWidth="true" hidden="false" outlineLevel="0" max="12" min="12" style="1" width="1.7"/>
    <col collapsed="false" customWidth="false" hidden="false" outlineLevel="0" max="13" min="13" style="1" width="9.14"/>
    <col collapsed="false" customWidth="true" hidden="false" outlineLevel="0" max="14" min="14" style="1" width="14.14"/>
    <col collapsed="false" customWidth="false" hidden="false" outlineLevel="0" max="15" min="15" style="1" width="9.14"/>
    <col collapsed="false" customWidth="true" hidden="false" outlineLevel="0" max="16" min="16" style="1" width="1.41"/>
    <col collapsed="false" customWidth="true" hidden="false" outlineLevel="0" max="17" min="17" style="1" width="8.28"/>
    <col collapsed="false" customWidth="false" hidden="false" outlineLevel="0" max="257" min="18" style="1" width="9.14"/>
  </cols>
  <sheetData>
    <row r="1" customFormat="false" ht="18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12.75" hidden="false" customHeight="false" outlineLevel="0" collapsed="false">
      <c r="B2" s="3"/>
      <c r="C2" s="3"/>
      <c r="D2" s="3"/>
      <c r="E2" s="3"/>
      <c r="F2" s="3"/>
      <c r="G2" s="4" t="s">
        <v>1</v>
      </c>
      <c r="H2" s="3"/>
      <c r="I2" s="3"/>
      <c r="J2" s="3"/>
      <c r="K2" s="3"/>
      <c r="L2" s="3"/>
      <c r="O2" s="5" t="s">
        <v>2</v>
      </c>
      <c r="P2" s="5"/>
      <c r="Q2" s="5" t="s">
        <v>3</v>
      </c>
    </row>
    <row r="3" customFormat="false" ht="12.75" hidden="false" customHeight="false" outlineLevel="0" collapsed="false">
      <c r="A3" s="3"/>
      <c r="B3" s="3"/>
      <c r="C3" s="3"/>
      <c r="D3" s="3"/>
      <c r="E3" s="3"/>
      <c r="F3" s="3"/>
      <c r="G3" s="3"/>
      <c r="H3" s="5"/>
      <c r="I3" s="6" t="s">
        <v>4</v>
      </c>
      <c r="J3" s="7" t="s">
        <v>5</v>
      </c>
      <c r="K3" s="6" t="s">
        <v>6</v>
      </c>
      <c r="L3" s="5"/>
      <c r="O3" s="3" t="s">
        <v>7</v>
      </c>
      <c r="P3" s="3"/>
      <c r="Q3" s="3" t="s">
        <v>8</v>
      </c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8" t="s">
        <v>9</v>
      </c>
      <c r="J4" s="9" t="s">
        <v>10</v>
      </c>
      <c r="K4" s="8" t="s">
        <v>11</v>
      </c>
      <c r="L4" s="3"/>
      <c r="O4" s="3" t="s">
        <v>12</v>
      </c>
      <c r="P4" s="3"/>
      <c r="Q4" s="3" t="s">
        <v>13</v>
      </c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3" t="s">
        <v>14</v>
      </c>
      <c r="H5" s="3"/>
      <c r="I5" s="10" t="n">
        <v>9.920179</v>
      </c>
      <c r="J5" s="11" t="n">
        <f aca="false">I5/$D$26</f>
        <v>0.0622946824410032</v>
      </c>
      <c r="K5" s="12" t="n">
        <v>243.0443855</v>
      </c>
      <c r="L5" s="13"/>
      <c r="O5" s="3" t="s">
        <v>15</v>
      </c>
      <c r="P5" s="3"/>
      <c r="Q5" s="3" t="s">
        <v>16</v>
      </c>
    </row>
    <row r="6" customFormat="false" ht="12.75" hidden="false" customHeight="false" outlineLevel="0" collapsed="false">
      <c r="A6" s="3"/>
      <c r="B6" s="3"/>
      <c r="C6" s="3"/>
      <c r="D6" s="3"/>
      <c r="E6" s="3"/>
      <c r="F6" s="3"/>
      <c r="G6" s="3" t="s">
        <v>17</v>
      </c>
      <c r="H6" s="3"/>
      <c r="I6" s="10" t="n">
        <v>7.406421</v>
      </c>
      <c r="J6" s="11" t="n">
        <f aca="false">I6/$D$26</f>
        <v>0.0465093063562036</v>
      </c>
      <c r="K6" s="10" t="n">
        <v>181.4573145</v>
      </c>
      <c r="L6" s="13"/>
      <c r="O6" s="3" t="s">
        <v>18</v>
      </c>
      <c r="P6" s="3"/>
      <c r="Q6" s="3" t="s">
        <v>19</v>
      </c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3" t="s">
        <v>20</v>
      </c>
      <c r="H7" s="3"/>
      <c r="I7" s="10" t="n">
        <v>6.325205</v>
      </c>
      <c r="J7" s="11" t="n">
        <f aca="false">I7/$D$26</f>
        <v>0.0397197103851902</v>
      </c>
      <c r="K7" s="10" t="n">
        <v>154.9675225</v>
      </c>
      <c r="L7" s="13"/>
      <c r="O7" s="3" t="s">
        <v>21</v>
      </c>
      <c r="P7" s="3"/>
      <c r="Q7" s="3" t="s">
        <v>22</v>
      </c>
    </row>
    <row r="8" customFormat="false" ht="12.75" hidden="false" customHeight="false" outlineLevel="0" collapsed="false">
      <c r="A8" s="3"/>
      <c r="B8" s="3"/>
      <c r="C8" s="3"/>
      <c r="D8" s="3"/>
      <c r="E8" s="3"/>
      <c r="F8" s="3"/>
      <c r="G8" s="3" t="s">
        <v>23</v>
      </c>
      <c r="H8" s="3"/>
      <c r="I8" s="10" t="n">
        <v>5.062975</v>
      </c>
      <c r="J8" s="11" t="n">
        <f aca="false">I8/$D$26</f>
        <v>0.0317934202428946</v>
      </c>
      <c r="K8" s="10" t="n">
        <v>124.0428875</v>
      </c>
      <c r="L8" s="13"/>
      <c r="O8" s="3" t="s">
        <v>24</v>
      </c>
      <c r="P8" s="3"/>
      <c r="Q8" s="3" t="s">
        <v>25</v>
      </c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3" t="s">
        <v>26</v>
      </c>
      <c r="H9" s="3"/>
      <c r="I9" s="10" t="n">
        <v>4.396061</v>
      </c>
      <c r="J9" s="11" t="n">
        <f aca="false">I9/$D$26</f>
        <v>0.0276054720369742</v>
      </c>
      <c r="K9" s="10" t="n">
        <v>107.7034945</v>
      </c>
      <c r="L9" s="13"/>
      <c r="O9" s="3" t="s">
        <v>27</v>
      </c>
      <c r="P9" s="3"/>
      <c r="Q9" s="3" t="s">
        <v>28</v>
      </c>
    </row>
    <row r="10" customFormat="false" ht="12.75" hidden="false" customHeight="false" outlineLevel="0" collapsed="false">
      <c r="A10" s="3"/>
      <c r="B10" s="3"/>
      <c r="C10" s="3"/>
      <c r="D10" s="3"/>
      <c r="E10" s="3"/>
      <c r="F10" s="3"/>
      <c r="G10" s="3" t="s">
        <v>29</v>
      </c>
      <c r="H10" s="3"/>
      <c r="I10" s="10" t="n">
        <v>3.4996</v>
      </c>
      <c r="J10" s="11" t="n">
        <f aca="false">I10/$D$26</f>
        <v>0.0219760621930849</v>
      </c>
      <c r="K10" s="10" t="n">
        <v>85.7402</v>
      </c>
      <c r="L10" s="13"/>
      <c r="O10" s="3" t="s">
        <v>30</v>
      </c>
      <c r="P10" s="3"/>
      <c r="Q10" s="3" t="s">
        <v>31</v>
      </c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 t="s">
        <v>32</v>
      </c>
      <c r="H11" s="3"/>
      <c r="I11" s="10" t="n">
        <v>3.475</v>
      </c>
      <c r="J11" s="11" t="n">
        <f aca="false">I11/$D$26</f>
        <v>0.0218215842156161</v>
      </c>
      <c r="K11" s="10" t="n">
        <v>85.1375</v>
      </c>
      <c r="L11" s="13"/>
      <c r="O11" s="3" t="s">
        <v>33</v>
      </c>
      <c r="P11" s="3"/>
      <c r="Q11" s="3" t="s">
        <v>34</v>
      </c>
    </row>
    <row r="12" customFormat="false" ht="12.75" hidden="false" customHeight="false" outlineLevel="0" collapsed="false">
      <c r="A12" s="3"/>
      <c r="B12" s="3"/>
      <c r="C12" s="3"/>
      <c r="D12" s="3"/>
      <c r="E12" s="3"/>
      <c r="F12" s="3"/>
      <c r="G12" s="3" t="s">
        <v>35</v>
      </c>
      <c r="H12" s="3"/>
      <c r="I12" s="10" t="n">
        <v>3.399078</v>
      </c>
      <c r="J12" s="11" t="n">
        <f aca="false">I12/$D$26</f>
        <v>0.0213448249877548</v>
      </c>
      <c r="K12" s="10" t="n">
        <v>83.277411</v>
      </c>
      <c r="L12" s="13"/>
      <c r="O12" s="3" t="s">
        <v>36</v>
      </c>
      <c r="P12" s="3"/>
      <c r="Q12" s="3" t="s">
        <v>37</v>
      </c>
    </row>
    <row r="13" customFormat="false" ht="12.75" hidden="false" customHeight="false" outlineLevel="0" collapsed="false">
      <c r="A13" s="3"/>
      <c r="B13" s="3"/>
      <c r="C13" s="3"/>
      <c r="D13" s="3"/>
      <c r="E13" s="3"/>
      <c r="F13" s="3"/>
      <c r="G13" s="3" t="s">
        <v>38</v>
      </c>
      <c r="H13" s="3"/>
      <c r="I13" s="10" t="n">
        <v>3.347719</v>
      </c>
      <c r="J13" s="11" t="n">
        <f aca="false">I13/$D$26</f>
        <v>0.0210223113924369</v>
      </c>
      <c r="K13" s="10" t="n">
        <v>82.0191155</v>
      </c>
      <c r="L13" s="13"/>
      <c r="O13" s="3" t="s">
        <v>39</v>
      </c>
      <c r="P13" s="3"/>
      <c r="Q13" s="3" t="s">
        <v>34</v>
      </c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3" t="s">
        <v>40</v>
      </c>
      <c r="H14" s="3"/>
      <c r="I14" s="10" t="n">
        <v>3.171975</v>
      </c>
      <c r="J14" s="11" t="n">
        <f aca="false">I14/$D$26</f>
        <v>0.0199187106740515</v>
      </c>
      <c r="K14" s="10" t="n">
        <v>77.7133875</v>
      </c>
      <c r="L14" s="13"/>
      <c r="O14" s="3" t="s">
        <v>41</v>
      </c>
      <c r="P14" s="3"/>
      <c r="Q14" s="3" t="s">
        <v>42</v>
      </c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O15" s="3" t="s">
        <v>43</v>
      </c>
      <c r="P15" s="3"/>
      <c r="Q15" s="3" t="s">
        <v>44</v>
      </c>
    </row>
    <row r="16" customFormat="false" ht="12.75" hidden="false" customHeight="false" outlineLevel="0" collapsed="false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O16" s="3" t="s">
        <v>45</v>
      </c>
      <c r="P16" s="3"/>
      <c r="Q16" s="3" t="s">
        <v>46</v>
      </c>
    </row>
    <row r="17" customFormat="false" ht="12.75" hidden="false" customHeight="false" outlineLevel="0" collapsed="false">
      <c r="A17" s="4" t="s">
        <v>47</v>
      </c>
      <c r="B17" s="3"/>
      <c r="C17" s="3"/>
      <c r="D17" s="3"/>
      <c r="E17" s="3"/>
      <c r="F17" s="3"/>
      <c r="G17" s="4" t="s">
        <v>48</v>
      </c>
      <c r="H17" s="14"/>
      <c r="I17" s="14"/>
      <c r="J17" s="14"/>
      <c r="K17" s="3"/>
      <c r="L17" s="3"/>
      <c r="O17" s="3" t="s">
        <v>49</v>
      </c>
      <c r="P17" s="3"/>
      <c r="Q17" s="3" t="s">
        <v>50</v>
      </c>
    </row>
    <row r="18" customFormat="false" ht="12.75" hidden="false" customHeight="false" outlineLevel="0" collapsed="false">
      <c r="A18" s="3"/>
      <c r="B18" s="3"/>
      <c r="C18" s="3"/>
      <c r="D18" s="3"/>
      <c r="E18" s="3"/>
      <c r="F18" s="14"/>
      <c r="G18" s="14"/>
      <c r="H18" s="14"/>
      <c r="I18" s="14"/>
      <c r="J18" s="14"/>
      <c r="L18" s="14"/>
      <c r="O18" s="3" t="s">
        <v>51</v>
      </c>
      <c r="P18" s="3"/>
      <c r="Q18" s="3" t="s">
        <v>52</v>
      </c>
    </row>
    <row r="19" customFormat="false" ht="12.75" hidden="false" customHeight="false" outlineLevel="0" collapsed="false">
      <c r="A19" s="15" t="s">
        <v>53</v>
      </c>
      <c r="B19" s="3"/>
      <c r="C19" s="8" t="n">
        <v>1998</v>
      </c>
      <c r="D19" s="8" t="n">
        <v>1999</v>
      </c>
      <c r="E19" s="8" t="s">
        <v>54</v>
      </c>
      <c r="F19" s="14"/>
      <c r="G19" s="3" t="s">
        <v>55</v>
      </c>
      <c r="H19" s="3"/>
      <c r="I19" s="3"/>
      <c r="J19" s="3"/>
      <c r="K19" s="16" t="n">
        <v>21.44</v>
      </c>
      <c r="L19" s="14"/>
      <c r="O19" s="3" t="s">
        <v>56</v>
      </c>
      <c r="P19" s="3"/>
      <c r="Q19" s="3" t="s">
        <v>57</v>
      </c>
    </row>
    <row r="20" customFormat="false" ht="12.75" hidden="false" customHeight="false" outlineLevel="0" collapsed="false">
      <c r="A20" s="3" t="s">
        <v>58</v>
      </c>
      <c r="B20" s="3"/>
      <c r="C20" s="17" t="n">
        <f aca="false">+'Corp I-S&amp;B-S'!E8</f>
        <v>5876.294</v>
      </c>
      <c r="D20" s="17" t="n">
        <f aca="false">+'Corp I-S&amp;B-S'!I8</f>
        <v>5937.888</v>
      </c>
      <c r="E20" s="17" t="n">
        <f aca="false">+'Corp I-S&amp;B-S'!J8</f>
        <v>5750.4</v>
      </c>
      <c r="F20" s="14"/>
      <c r="G20" s="3" t="s">
        <v>59</v>
      </c>
      <c r="H20" s="3"/>
      <c r="I20" s="3"/>
      <c r="J20" s="3"/>
      <c r="K20" s="18" t="s">
        <v>60</v>
      </c>
      <c r="L20" s="14"/>
    </row>
    <row r="21" customFormat="false" ht="12.75" hidden="false" customHeight="false" outlineLevel="0" collapsed="false">
      <c r="A21" s="3" t="s">
        <v>61</v>
      </c>
      <c r="B21" s="3"/>
      <c r="C21" s="19" t="n">
        <f aca="false">+'Corp I-S&amp;B-S'!E44</f>
        <v>971.944</v>
      </c>
      <c r="D21" s="19" t="n">
        <f aca="false">+'Corp I-S&amp;B-S'!I44</f>
        <v>1047.059</v>
      </c>
      <c r="E21" s="19" t="n">
        <f aca="false">+'Corp I-S&amp;B-S'!J44</f>
        <v>1226.863</v>
      </c>
      <c r="F21" s="14"/>
      <c r="G21" s="3" t="s">
        <v>62</v>
      </c>
      <c r="H21" s="3"/>
      <c r="I21" s="3"/>
      <c r="J21" s="3"/>
      <c r="K21" s="16" t="n">
        <f aca="false">+'Corp I-S&amp;B-S'!N56/'Corp I-S&amp;B-S'!H41</f>
        <v>16.567869836605</v>
      </c>
      <c r="L21" s="14"/>
    </row>
    <row r="22" customFormat="false" ht="12.75" hidden="false" customHeight="false" outlineLevel="0" collapsed="false">
      <c r="A22" s="3" t="s">
        <v>63</v>
      </c>
      <c r="B22" s="3"/>
      <c r="C22" s="19" t="n">
        <f aca="false">+'Corp I-S&amp;B-S'!E16</f>
        <v>566.429</v>
      </c>
      <c r="D22" s="19" t="n">
        <f aca="false">+'Corp I-S&amp;B-S'!I16</f>
        <v>693.307</v>
      </c>
      <c r="E22" s="19" t="n">
        <f aca="false">+'Corp I-S&amp;B-S'!J16</f>
        <v>867.983</v>
      </c>
      <c r="F22" s="14"/>
      <c r="G22" s="3" t="s">
        <v>64</v>
      </c>
      <c r="H22" s="3"/>
      <c r="I22" s="3"/>
      <c r="J22" s="3"/>
      <c r="K22" s="20" t="n">
        <v>0.041</v>
      </c>
      <c r="L22" s="14"/>
    </row>
    <row r="23" customFormat="false" ht="12.75" hidden="false" customHeight="false" outlineLevel="0" collapsed="false">
      <c r="A23" s="3" t="s">
        <v>65</v>
      </c>
      <c r="B23" s="3"/>
      <c r="C23" s="21" t="n">
        <f aca="false">+'Corp I-S&amp;B-S'!E19</f>
        <v>243.587</v>
      </c>
      <c r="D23" s="21" t="n">
        <f aca="false">+'Corp I-S&amp;B-S'!I19</f>
        <v>235</v>
      </c>
      <c r="E23" s="21" t="n">
        <f aca="false">+'Corp I-S&amp;B-S'!J19</f>
        <v>235</v>
      </c>
      <c r="F23" s="14"/>
      <c r="G23" s="3" t="s">
        <v>66</v>
      </c>
      <c r="H23" s="3"/>
      <c r="I23" s="3"/>
      <c r="J23" s="3"/>
      <c r="K23" s="20" t="n">
        <f aca="false">1.8/K19</f>
        <v>0.083955223880597</v>
      </c>
      <c r="L23" s="14"/>
    </row>
    <row r="24" customFormat="false" ht="12.75" hidden="false" customHeight="false" outlineLevel="0" collapsed="false">
      <c r="A24" s="3" t="s">
        <v>67</v>
      </c>
      <c r="B24" s="3"/>
      <c r="C24" s="21" t="n">
        <f aca="false">+'Corp I-S&amp;B-S'!E25</f>
        <v>260.968</v>
      </c>
      <c r="D24" s="21" t="n">
        <f aca="false">+'Corp I-S&amp;B-S'!I25</f>
        <v>403.641</v>
      </c>
      <c r="E24" s="21" t="n">
        <f aca="false">+'Corp I-S&amp;B-S'!J25</f>
        <v>414.37212</v>
      </c>
      <c r="F24" s="14"/>
      <c r="G24" s="3" t="s">
        <v>68</v>
      </c>
      <c r="H24" s="3"/>
      <c r="I24" s="3"/>
      <c r="J24" s="3"/>
      <c r="K24" s="22" t="n">
        <f aca="false">+'Corp I-S&amp;B-S'!I38*'Corp I-S&amp;B-S'!D54</f>
        <v>3405.21825</v>
      </c>
      <c r="L24" s="14"/>
    </row>
    <row r="25" customFormat="false" ht="12.75" hidden="false" customHeight="false" outlineLevel="0" collapsed="false">
      <c r="A25" s="3" t="s">
        <v>69</v>
      </c>
      <c r="B25" s="3"/>
      <c r="C25" s="23" t="n">
        <f aca="false">+'Corp I-S&amp;B-S'!E38</f>
        <v>158.238</v>
      </c>
      <c r="D25" s="23" t="n">
        <f aca="false">+'Corp I-S&amp;B-S'!I38</f>
        <v>158.844</v>
      </c>
      <c r="E25" s="23" t="n">
        <f aca="false">+'Corp I-S&amp;B-S'!J38</f>
        <v>158.844</v>
      </c>
      <c r="F25" s="14"/>
      <c r="G25" s="3" t="s">
        <v>70</v>
      </c>
      <c r="H25" s="3"/>
      <c r="I25" s="3"/>
      <c r="J25" s="3"/>
      <c r="K25" s="22" t="n">
        <f aca="false">+'Corp I-S&amp;B-S'!C71</f>
        <v>3549.599</v>
      </c>
      <c r="L25" s="14"/>
    </row>
    <row r="26" customFormat="false" ht="12.75" hidden="false" customHeight="false" outlineLevel="0" collapsed="false">
      <c r="A26" s="3" t="s">
        <v>71</v>
      </c>
      <c r="B26" s="3"/>
      <c r="C26" s="23" t="n">
        <f aca="false">+'Corp I-S&amp;B-S'!E41</f>
        <v>159.238</v>
      </c>
      <c r="D26" s="23" t="n">
        <f aca="false">+'Corp I-S&amp;B-S'!I41</f>
        <v>159.246</v>
      </c>
      <c r="E26" s="23" t="n">
        <f aca="false">+'Corp I-S&amp;B-S'!J41</f>
        <v>159.246</v>
      </c>
      <c r="F26" s="24"/>
      <c r="G26" s="14" t="s">
        <v>72</v>
      </c>
      <c r="H26" s="3"/>
      <c r="I26" s="3"/>
      <c r="J26" s="3"/>
      <c r="K26" s="25" t="n">
        <f aca="false">+'Valuation Slide'!E18</f>
        <v>8.23857581200202</v>
      </c>
      <c r="L26" s="3"/>
    </row>
    <row r="27" customFormat="false" ht="12.75" hidden="false" customHeight="false" outlineLevel="0" collapsed="false">
      <c r="A27" s="3" t="s">
        <v>73</v>
      </c>
      <c r="B27" s="3"/>
      <c r="C27" s="16" t="n">
        <f aca="false">+'Corp I-S&amp;B-S'!E32</f>
        <v>1.96519167330224</v>
      </c>
      <c r="D27" s="16" t="n">
        <f aca="false">+'Corp I-S&amp;B-S'!I32</f>
        <v>2.54111581173982</v>
      </c>
      <c r="E27" s="16" t="n">
        <f aca="false">+'Corp I-S&amp;B-S'!J32</f>
        <v>2.60867341542646</v>
      </c>
      <c r="F27" s="24"/>
      <c r="G27" s="14" t="s">
        <v>74</v>
      </c>
      <c r="H27" s="3"/>
      <c r="I27" s="3"/>
      <c r="J27" s="3"/>
      <c r="K27" s="25" t="n">
        <f aca="false">+'Valuation Slide'!E25</f>
        <v>5.67580497985512</v>
      </c>
      <c r="L27" s="3"/>
    </row>
    <row r="28" customFormat="false" ht="12.75" hidden="false" customHeight="false" outlineLevel="0" collapsed="false">
      <c r="A28" s="3" t="s">
        <v>75</v>
      </c>
      <c r="B28" s="3"/>
      <c r="C28" s="16" t="n">
        <f aca="false">+'Corp I-S&amp;B-S'!E33</f>
        <v>1.95285045026941</v>
      </c>
      <c r="D28" s="16" t="n">
        <f aca="false">+'Corp I-S&amp;B-S'!I33</f>
        <v>2.53470102859726</v>
      </c>
      <c r="E28" s="16" t="n">
        <f aca="false">+'Corp I-S&amp;B-S'!J33</f>
        <v>2.60208809012471</v>
      </c>
      <c r="F28" s="3"/>
      <c r="G28" s="14"/>
      <c r="H28" s="14"/>
      <c r="I28" s="14"/>
      <c r="J28" s="14"/>
      <c r="L28" s="3"/>
    </row>
    <row r="29" customFormat="false" ht="12.75" hidden="false" customHeight="false" outlineLevel="0" collapsed="false">
      <c r="A29" s="15"/>
      <c r="B29" s="15"/>
      <c r="C29" s="3"/>
      <c r="D29" s="3"/>
      <c r="E29" s="3"/>
      <c r="F29" s="3"/>
      <c r="G29" s="14"/>
      <c r="H29" s="3"/>
      <c r="I29" s="3"/>
      <c r="J29" s="3"/>
      <c r="K29" s="3"/>
      <c r="L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26"/>
      <c r="G30" s="26"/>
      <c r="H30" s="26"/>
      <c r="I30" s="26"/>
      <c r="J30" s="26"/>
      <c r="K30" s="26"/>
      <c r="L30" s="26"/>
    </row>
    <row r="31" customFormat="false" ht="12.75" hidden="false" customHeight="false" outlineLevel="0" collapsed="false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customFormat="false" ht="12.75" hidden="false" customHeight="false" outlineLevel="0" collapsed="false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customFormat="false" ht="12.75" hidden="false" customHeight="false" outlineLevel="0" collapsed="false">
      <c r="A33" s="26"/>
      <c r="B33" s="26"/>
      <c r="C33" s="26"/>
      <c r="D33" s="26"/>
      <c r="E33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100" zoomScalePageLayoutView="70" workbookViewId="0">
      <selection pane="topLeft" activeCell="F12" activeCellId="0" sqref="F12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23" width="2.84"/>
    <col collapsed="false" customWidth="true" hidden="false" outlineLevel="0" max="2" min="2" style="223" width="31.99"/>
    <col collapsed="false" customWidth="true" hidden="false" outlineLevel="0" max="3" min="3" style="223" width="7.28"/>
    <col collapsed="false" customWidth="true" hidden="false" outlineLevel="0" max="4" min="4" style="223" width="17.14"/>
    <col collapsed="false" customWidth="true" hidden="false" outlineLevel="0" max="6" min="5" style="223" width="15.7"/>
    <col collapsed="false" customWidth="true" hidden="false" outlineLevel="0" max="7" min="7" style="223" width="17.28"/>
    <col collapsed="false" customWidth="true" hidden="false" outlineLevel="0" max="8" min="8" style="223" width="15.7"/>
    <col collapsed="false" customWidth="true" hidden="false" outlineLevel="0" max="9" min="9" style="223" width="21.13"/>
    <col collapsed="false" customWidth="true" hidden="false" outlineLevel="0" max="10" min="10" style="223" width="18.85"/>
    <col collapsed="false" customWidth="false" hidden="false" outlineLevel="0" max="12" min="11" style="223" width="7.99"/>
    <col collapsed="false" customWidth="true" hidden="false" outlineLevel="0" max="13" min="13" style="223" width="22.56"/>
    <col collapsed="false" customWidth="true" hidden="false" outlineLevel="0" max="14" min="14" style="223" width="13.7"/>
    <col collapsed="false" customWidth="true" hidden="false" outlineLevel="0" max="16" min="15" style="223" width="16.13"/>
    <col collapsed="false" customWidth="true" hidden="false" outlineLevel="0" max="17" min="17" style="223" width="22.99"/>
    <col collapsed="false" customWidth="true" hidden="false" outlineLevel="0" max="18" min="18" style="223" width="7.7"/>
    <col collapsed="false" customWidth="true" hidden="false" outlineLevel="0" max="19" min="19" style="223" width="12.56"/>
    <col collapsed="false" customWidth="false" hidden="false" outlineLevel="0" max="257" min="20" style="223" width="7.99"/>
  </cols>
  <sheetData>
    <row r="1" customFormat="false" ht="22.5" hidden="false" customHeight="false" outlineLevel="0" collapsed="false">
      <c r="B1" s="224" t="s">
        <v>361</v>
      </c>
    </row>
    <row r="2" customFormat="false" ht="15.75" hidden="false" customHeight="false" outlineLevel="0" collapsed="false">
      <c r="B2" s="225" t="s">
        <v>345</v>
      </c>
    </row>
    <row r="3" customFormat="false" ht="12.75" hidden="false" customHeight="false" outlineLevel="0" collapsed="false">
      <c r="B3" s="226" t="s">
        <v>289</v>
      </c>
    </row>
    <row r="4" customFormat="false" ht="12.75" hidden="false" customHeight="false" outlineLevel="0" collapsed="false">
      <c r="B4" s="226"/>
      <c r="E4" s="227"/>
      <c r="G4" s="227"/>
      <c r="H4" s="227" t="s">
        <v>362</v>
      </c>
      <c r="I4" s="227"/>
    </row>
    <row r="5" customFormat="false" ht="12.75" hidden="false" customHeight="false" outlineLevel="0" collapsed="false">
      <c r="E5" s="227" t="s">
        <v>363</v>
      </c>
      <c r="F5" s="227"/>
      <c r="G5" s="227"/>
      <c r="H5" s="227" t="s">
        <v>364</v>
      </c>
      <c r="I5" s="227" t="s">
        <v>365</v>
      </c>
      <c r="N5" s="227"/>
      <c r="Q5" s="227"/>
    </row>
    <row r="6" customFormat="false" ht="12.75" hidden="false" customHeight="false" outlineLevel="0" collapsed="false">
      <c r="D6" s="227" t="s">
        <v>366</v>
      </c>
      <c r="E6" s="227" t="s">
        <v>294</v>
      </c>
      <c r="F6" s="227" t="s">
        <v>367</v>
      </c>
      <c r="G6" s="227" t="s">
        <v>368</v>
      </c>
      <c r="H6" s="227" t="s">
        <v>369</v>
      </c>
      <c r="I6" s="227" t="s">
        <v>370</v>
      </c>
      <c r="J6" s="227" t="s">
        <v>371</v>
      </c>
      <c r="M6" s="227"/>
      <c r="N6" s="227"/>
      <c r="O6" s="227"/>
      <c r="P6" s="227"/>
      <c r="Q6" s="227"/>
      <c r="R6" s="227"/>
      <c r="S6" s="227"/>
    </row>
    <row r="7" customFormat="false" ht="12.75" hidden="false" customHeight="false" outlineLevel="0" collapsed="false">
      <c r="A7" s="228"/>
      <c r="B7" s="229" t="s">
        <v>300</v>
      </c>
      <c r="C7" s="228"/>
      <c r="D7" s="228" t="s">
        <v>372</v>
      </c>
      <c r="E7" s="228" t="s">
        <v>302</v>
      </c>
      <c r="F7" s="228" t="s">
        <v>303</v>
      </c>
      <c r="G7" s="228" t="s">
        <v>304</v>
      </c>
      <c r="H7" s="228" t="s">
        <v>373</v>
      </c>
      <c r="I7" s="228" t="s">
        <v>374</v>
      </c>
      <c r="J7" s="228" t="s">
        <v>238</v>
      </c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  <c r="EE7" s="228"/>
      <c r="EF7" s="228"/>
      <c r="EG7" s="228"/>
      <c r="EH7" s="228"/>
      <c r="EI7" s="228"/>
      <c r="EJ7" s="228"/>
      <c r="EK7" s="228"/>
      <c r="EL7" s="228"/>
      <c r="EM7" s="228"/>
      <c r="EN7" s="228"/>
      <c r="EO7" s="228"/>
      <c r="EP7" s="228"/>
      <c r="EQ7" s="228"/>
      <c r="ER7" s="228"/>
      <c r="ES7" s="228"/>
      <c r="ET7" s="228"/>
      <c r="EU7" s="228"/>
      <c r="EV7" s="228"/>
      <c r="EW7" s="228"/>
      <c r="EX7" s="228"/>
      <c r="EY7" s="228"/>
      <c r="EZ7" s="228"/>
      <c r="FA7" s="228"/>
      <c r="FB7" s="228"/>
      <c r="FC7" s="228"/>
      <c r="FD7" s="228"/>
      <c r="FE7" s="228"/>
      <c r="FF7" s="228"/>
      <c r="FG7" s="228"/>
      <c r="FH7" s="228"/>
      <c r="FI7" s="228"/>
      <c r="FJ7" s="228"/>
      <c r="FK7" s="228"/>
      <c r="FL7" s="228"/>
      <c r="FM7" s="228"/>
      <c r="FN7" s="228"/>
      <c r="FO7" s="228"/>
      <c r="FP7" s="228"/>
      <c r="FQ7" s="228"/>
      <c r="FR7" s="228"/>
      <c r="FS7" s="228"/>
      <c r="FT7" s="228"/>
      <c r="FU7" s="228"/>
      <c r="FV7" s="228"/>
      <c r="FW7" s="228"/>
      <c r="FX7" s="228"/>
      <c r="FY7" s="228"/>
      <c r="FZ7" s="228"/>
      <c r="GA7" s="228"/>
      <c r="GB7" s="228"/>
      <c r="GC7" s="228"/>
      <c r="GD7" s="228"/>
      <c r="GE7" s="228"/>
      <c r="GF7" s="228"/>
      <c r="GG7" s="228"/>
      <c r="GH7" s="228"/>
      <c r="GI7" s="228"/>
      <c r="GJ7" s="228"/>
      <c r="GK7" s="228"/>
      <c r="GL7" s="228"/>
      <c r="GM7" s="228"/>
      <c r="GN7" s="228"/>
      <c r="GO7" s="228"/>
      <c r="GP7" s="228"/>
      <c r="GQ7" s="228"/>
      <c r="GR7" s="228"/>
      <c r="GS7" s="228"/>
      <c r="GT7" s="228"/>
      <c r="GU7" s="228"/>
      <c r="GV7" s="228"/>
      <c r="GW7" s="228"/>
      <c r="GX7" s="228"/>
      <c r="GY7" s="228"/>
      <c r="GZ7" s="228"/>
      <c r="HA7" s="228"/>
      <c r="HB7" s="228"/>
      <c r="HC7" s="228"/>
      <c r="HD7" s="228"/>
      <c r="HE7" s="228"/>
      <c r="HF7" s="228"/>
      <c r="HG7" s="228"/>
      <c r="HH7" s="228"/>
      <c r="HI7" s="228"/>
      <c r="HJ7" s="228"/>
      <c r="HK7" s="228"/>
      <c r="HL7" s="228"/>
      <c r="HM7" s="228"/>
      <c r="HN7" s="228"/>
      <c r="HO7" s="228"/>
      <c r="HP7" s="228"/>
      <c r="HQ7" s="228"/>
      <c r="HR7" s="228"/>
      <c r="HS7" s="228"/>
      <c r="HT7" s="228"/>
      <c r="HU7" s="228"/>
      <c r="HV7" s="228"/>
      <c r="HW7" s="228"/>
      <c r="HX7" s="228"/>
      <c r="HY7" s="228"/>
      <c r="HZ7" s="228"/>
      <c r="IA7" s="228"/>
      <c r="IB7" s="228"/>
      <c r="IC7" s="228"/>
      <c r="ID7" s="228"/>
      <c r="IE7" s="228"/>
      <c r="IF7" s="228"/>
      <c r="IG7" s="228"/>
      <c r="IH7" s="228"/>
      <c r="II7" s="228"/>
      <c r="IJ7" s="228"/>
      <c r="IK7" s="228"/>
      <c r="IL7" s="228"/>
      <c r="IM7" s="228"/>
      <c r="IN7" s="228"/>
      <c r="IO7" s="228"/>
      <c r="IP7" s="228"/>
      <c r="IQ7" s="228"/>
      <c r="IR7" s="228"/>
      <c r="IS7" s="228"/>
      <c r="IT7" s="228"/>
      <c r="IU7" s="228"/>
      <c r="IV7" s="228"/>
      <c r="IW7" s="228"/>
    </row>
    <row r="8" customFormat="false" ht="12.75" hidden="false" customHeight="false" outlineLevel="0" collapsed="false">
      <c r="A8" s="228"/>
      <c r="B8" s="230" t="s">
        <v>308</v>
      </c>
      <c r="C8" s="231" t="n">
        <f aca="false">+'Corp I-S&amp;B-S'!C54</f>
        <v>36600</v>
      </c>
      <c r="D8" s="232" t="n">
        <f aca="false">+'Financial Data Slide'!K19</f>
        <v>21.44</v>
      </c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8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  <c r="EC8" s="228"/>
      <c r="ED8" s="228"/>
      <c r="EE8" s="228"/>
      <c r="EF8" s="228"/>
      <c r="EG8" s="228"/>
      <c r="EH8" s="228"/>
      <c r="EI8" s="228"/>
      <c r="EJ8" s="228"/>
      <c r="EK8" s="228"/>
      <c r="EL8" s="228"/>
      <c r="EM8" s="228"/>
      <c r="EN8" s="228"/>
      <c r="EO8" s="228"/>
      <c r="EP8" s="228"/>
      <c r="EQ8" s="228"/>
      <c r="ER8" s="228"/>
      <c r="ES8" s="228"/>
      <c r="ET8" s="228"/>
      <c r="EU8" s="228"/>
      <c r="EV8" s="228"/>
      <c r="EW8" s="228"/>
      <c r="EX8" s="228"/>
      <c r="EY8" s="228"/>
      <c r="EZ8" s="228"/>
      <c r="FA8" s="228"/>
      <c r="FB8" s="228"/>
      <c r="FC8" s="228"/>
      <c r="FD8" s="228"/>
      <c r="FE8" s="228"/>
      <c r="FF8" s="228"/>
      <c r="FG8" s="228"/>
      <c r="FH8" s="228"/>
      <c r="FI8" s="228"/>
      <c r="FJ8" s="228"/>
      <c r="FK8" s="228"/>
      <c r="FL8" s="228"/>
      <c r="FM8" s="228"/>
      <c r="FN8" s="228"/>
      <c r="FO8" s="228"/>
      <c r="FP8" s="228"/>
      <c r="FQ8" s="228"/>
      <c r="FR8" s="228"/>
      <c r="FS8" s="228"/>
      <c r="FT8" s="228"/>
      <c r="FU8" s="228"/>
      <c r="FV8" s="228"/>
      <c r="FW8" s="228"/>
      <c r="FX8" s="228"/>
      <c r="FY8" s="228"/>
      <c r="FZ8" s="228"/>
      <c r="GA8" s="228"/>
      <c r="GB8" s="228"/>
      <c r="GC8" s="228"/>
      <c r="GD8" s="228"/>
      <c r="GE8" s="228"/>
      <c r="GF8" s="228"/>
      <c r="GG8" s="228"/>
      <c r="GH8" s="228"/>
      <c r="GI8" s="228"/>
      <c r="GJ8" s="228"/>
      <c r="GK8" s="228"/>
      <c r="GL8" s="228"/>
      <c r="GM8" s="228"/>
      <c r="GN8" s="228"/>
      <c r="GO8" s="228"/>
      <c r="GP8" s="228"/>
      <c r="GQ8" s="228"/>
      <c r="GR8" s="228"/>
      <c r="GS8" s="228"/>
      <c r="GT8" s="228"/>
      <c r="GU8" s="228"/>
      <c r="GV8" s="228"/>
      <c r="GW8" s="228"/>
      <c r="GX8" s="228"/>
      <c r="GY8" s="228"/>
      <c r="GZ8" s="228"/>
      <c r="HA8" s="228"/>
      <c r="HB8" s="228"/>
      <c r="HC8" s="228"/>
      <c r="HD8" s="228"/>
      <c r="HE8" s="228"/>
      <c r="HF8" s="228"/>
      <c r="HG8" s="228"/>
      <c r="HH8" s="228"/>
      <c r="HI8" s="228"/>
      <c r="HJ8" s="228"/>
      <c r="HK8" s="228"/>
      <c r="HL8" s="228"/>
      <c r="HM8" s="228"/>
      <c r="HN8" s="228"/>
      <c r="HO8" s="228"/>
      <c r="HP8" s="228"/>
      <c r="HQ8" s="228"/>
      <c r="HR8" s="228"/>
      <c r="HS8" s="228"/>
      <c r="HT8" s="228"/>
      <c r="HU8" s="228"/>
      <c r="HV8" s="228"/>
      <c r="HW8" s="228"/>
      <c r="HX8" s="228"/>
      <c r="HY8" s="228"/>
      <c r="HZ8" s="228"/>
      <c r="IA8" s="228"/>
      <c r="IB8" s="228"/>
      <c r="IC8" s="228"/>
      <c r="ID8" s="228"/>
      <c r="IE8" s="228"/>
      <c r="IF8" s="228"/>
      <c r="IG8" s="228"/>
      <c r="IH8" s="228"/>
      <c r="II8" s="228"/>
      <c r="IJ8" s="228"/>
      <c r="IK8" s="228"/>
      <c r="IL8" s="228"/>
      <c r="IM8" s="228"/>
      <c r="IN8" s="228"/>
      <c r="IO8" s="228"/>
      <c r="IP8" s="228"/>
      <c r="IQ8" s="228"/>
      <c r="IR8" s="228"/>
      <c r="IS8" s="228"/>
      <c r="IT8" s="228"/>
      <c r="IU8" s="228"/>
      <c r="IV8" s="228"/>
      <c r="IW8" s="228"/>
    </row>
    <row r="9" customFormat="false" ht="12.75" hidden="false" customHeight="false" outlineLevel="0" collapsed="false">
      <c r="A9" s="228"/>
      <c r="B9" s="230" t="s">
        <v>252</v>
      </c>
      <c r="C9" s="228"/>
      <c r="D9" s="233" t="n">
        <v>0.5</v>
      </c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  <c r="EE9" s="228"/>
      <c r="EF9" s="228"/>
      <c r="EG9" s="228"/>
      <c r="EH9" s="228"/>
      <c r="EI9" s="228"/>
      <c r="EJ9" s="228"/>
      <c r="EK9" s="228"/>
      <c r="EL9" s="228"/>
      <c r="EM9" s="228"/>
      <c r="EN9" s="228"/>
      <c r="EO9" s="228"/>
      <c r="EP9" s="228"/>
      <c r="EQ9" s="228"/>
      <c r="ER9" s="228"/>
      <c r="ES9" s="228"/>
      <c r="ET9" s="228"/>
      <c r="EU9" s="228"/>
      <c r="EV9" s="228"/>
      <c r="EW9" s="228"/>
      <c r="EX9" s="228"/>
      <c r="EY9" s="228"/>
      <c r="EZ9" s="228"/>
      <c r="FA9" s="228"/>
      <c r="FB9" s="228"/>
      <c r="FC9" s="228"/>
      <c r="FD9" s="228"/>
      <c r="FE9" s="228"/>
      <c r="FF9" s="228"/>
      <c r="FG9" s="228"/>
      <c r="FH9" s="228"/>
      <c r="FI9" s="228"/>
      <c r="FJ9" s="228"/>
      <c r="FK9" s="228"/>
      <c r="FL9" s="228"/>
      <c r="FM9" s="228"/>
      <c r="FN9" s="228"/>
      <c r="FO9" s="228"/>
      <c r="FP9" s="228"/>
      <c r="FQ9" s="228"/>
      <c r="FR9" s="228"/>
      <c r="FS9" s="228"/>
      <c r="FT9" s="228"/>
      <c r="FU9" s="228"/>
      <c r="FV9" s="228"/>
      <c r="FW9" s="228"/>
      <c r="FX9" s="228"/>
      <c r="FY9" s="228"/>
      <c r="FZ9" s="228"/>
      <c r="GA9" s="228"/>
      <c r="GB9" s="228"/>
      <c r="GC9" s="228"/>
      <c r="GD9" s="228"/>
      <c r="GE9" s="228"/>
      <c r="GF9" s="228"/>
      <c r="GG9" s="228"/>
      <c r="GH9" s="228"/>
      <c r="GI9" s="228"/>
      <c r="GJ9" s="228"/>
      <c r="GK9" s="228"/>
      <c r="GL9" s="228"/>
      <c r="GM9" s="228"/>
      <c r="GN9" s="228"/>
      <c r="GO9" s="228"/>
      <c r="GP9" s="228"/>
      <c r="GQ9" s="228"/>
      <c r="GR9" s="228"/>
      <c r="GS9" s="228"/>
      <c r="GT9" s="228"/>
      <c r="GU9" s="228"/>
      <c r="GV9" s="228"/>
      <c r="GW9" s="228"/>
      <c r="GX9" s="228"/>
      <c r="GY9" s="228"/>
      <c r="GZ9" s="228"/>
      <c r="HA9" s="228"/>
      <c r="HB9" s="228"/>
      <c r="HC9" s="228"/>
      <c r="HD9" s="228"/>
      <c r="HE9" s="228"/>
      <c r="HF9" s="228"/>
      <c r="HG9" s="228"/>
      <c r="HH9" s="228"/>
      <c r="HI9" s="228"/>
      <c r="HJ9" s="228"/>
      <c r="HK9" s="228"/>
      <c r="HL9" s="228"/>
      <c r="HM9" s="228"/>
      <c r="HN9" s="228"/>
      <c r="HO9" s="228"/>
      <c r="HP9" s="228"/>
      <c r="HQ9" s="228"/>
      <c r="HR9" s="228"/>
      <c r="HS9" s="228"/>
      <c r="HT9" s="228"/>
      <c r="HU9" s="228"/>
      <c r="HV9" s="228"/>
      <c r="HW9" s="228"/>
      <c r="HX9" s="228"/>
      <c r="HY9" s="228"/>
      <c r="HZ9" s="228"/>
      <c r="IA9" s="228"/>
      <c r="IB9" s="228"/>
      <c r="IC9" s="228"/>
      <c r="ID9" s="228"/>
      <c r="IE9" s="228"/>
      <c r="IF9" s="228"/>
      <c r="IG9" s="228"/>
      <c r="IH9" s="228"/>
      <c r="II9" s="228"/>
      <c r="IJ9" s="228"/>
      <c r="IK9" s="228"/>
      <c r="IL9" s="228"/>
      <c r="IM9" s="228"/>
      <c r="IN9" s="228"/>
      <c r="IO9" s="228"/>
      <c r="IP9" s="228"/>
      <c r="IQ9" s="228"/>
      <c r="IR9" s="228"/>
      <c r="IS9" s="228"/>
      <c r="IT9" s="228"/>
      <c r="IU9" s="228"/>
      <c r="IV9" s="228"/>
      <c r="IW9" s="228"/>
    </row>
    <row r="10" customFormat="false" ht="12.75" hidden="false" customHeight="false" outlineLevel="0" collapsed="false">
      <c r="A10" s="228"/>
      <c r="B10" s="230" t="s">
        <v>309</v>
      </c>
      <c r="C10" s="228"/>
      <c r="D10" s="234" t="n">
        <f aca="false">D8*(1+D9)</f>
        <v>32.16</v>
      </c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  <c r="EE10" s="228"/>
      <c r="EF10" s="228"/>
      <c r="EG10" s="228"/>
      <c r="EH10" s="228"/>
      <c r="EI10" s="228"/>
      <c r="EJ10" s="228"/>
      <c r="EK10" s="228"/>
      <c r="EL10" s="228"/>
      <c r="EM10" s="228"/>
      <c r="EN10" s="228"/>
      <c r="EO10" s="228"/>
      <c r="EP10" s="228"/>
      <c r="EQ10" s="228"/>
      <c r="ER10" s="228"/>
      <c r="ES10" s="228"/>
      <c r="ET10" s="228"/>
      <c r="EU10" s="228"/>
      <c r="EV10" s="228"/>
      <c r="EW10" s="228"/>
      <c r="EX10" s="228"/>
      <c r="EY10" s="228"/>
      <c r="EZ10" s="228"/>
      <c r="FA10" s="228"/>
      <c r="FB10" s="228"/>
      <c r="FC10" s="228"/>
      <c r="FD10" s="228"/>
      <c r="FE10" s="228"/>
      <c r="FF10" s="228"/>
      <c r="FG10" s="228"/>
      <c r="FH10" s="228"/>
      <c r="FI10" s="228"/>
      <c r="FJ10" s="228"/>
      <c r="FK10" s="228"/>
      <c r="FL10" s="228"/>
      <c r="FM10" s="228"/>
      <c r="FN10" s="228"/>
      <c r="FO10" s="228"/>
      <c r="FP10" s="228"/>
      <c r="FQ10" s="228"/>
      <c r="FR10" s="228"/>
      <c r="FS10" s="228"/>
      <c r="FT10" s="228"/>
      <c r="FU10" s="228"/>
      <c r="FV10" s="228"/>
      <c r="FW10" s="228"/>
      <c r="FX10" s="228"/>
      <c r="FY10" s="228"/>
      <c r="FZ10" s="228"/>
      <c r="GA10" s="228"/>
      <c r="GB10" s="228"/>
      <c r="GC10" s="228"/>
      <c r="GD10" s="228"/>
      <c r="GE10" s="228"/>
      <c r="GF10" s="228"/>
      <c r="GG10" s="228"/>
      <c r="GH10" s="228"/>
      <c r="GI10" s="228"/>
      <c r="GJ10" s="228"/>
      <c r="GK10" s="228"/>
      <c r="GL10" s="228"/>
      <c r="GM10" s="228"/>
      <c r="GN10" s="228"/>
      <c r="GO10" s="228"/>
      <c r="GP10" s="228"/>
      <c r="GQ10" s="228"/>
      <c r="GR10" s="228"/>
      <c r="GS10" s="228"/>
      <c r="GT10" s="228"/>
      <c r="GU10" s="228"/>
      <c r="GV10" s="228"/>
      <c r="GW10" s="228"/>
      <c r="GX10" s="228"/>
      <c r="GY10" s="228"/>
      <c r="GZ10" s="228"/>
      <c r="HA10" s="228"/>
      <c r="HB10" s="228"/>
      <c r="HC10" s="228"/>
      <c r="HD10" s="228"/>
      <c r="HE10" s="228"/>
      <c r="HF10" s="228"/>
      <c r="HG10" s="228"/>
      <c r="HH10" s="228"/>
      <c r="HI10" s="228"/>
      <c r="HJ10" s="228"/>
      <c r="HK10" s="228"/>
      <c r="HL10" s="228"/>
      <c r="HM10" s="228"/>
      <c r="HN10" s="228"/>
      <c r="HO10" s="228"/>
      <c r="HP10" s="228"/>
      <c r="HQ10" s="228"/>
      <c r="HR10" s="228"/>
      <c r="HS10" s="228"/>
      <c r="HT10" s="228"/>
      <c r="HU10" s="228"/>
      <c r="HV10" s="228"/>
      <c r="HW10" s="228"/>
      <c r="HX10" s="228"/>
      <c r="HY10" s="228"/>
      <c r="HZ10" s="228"/>
      <c r="IA10" s="228"/>
      <c r="IB10" s="228"/>
      <c r="IC10" s="228"/>
      <c r="ID10" s="228"/>
      <c r="IE10" s="228"/>
      <c r="IF10" s="228"/>
      <c r="IG10" s="228"/>
      <c r="IH10" s="228"/>
      <c r="II10" s="228"/>
      <c r="IJ10" s="228"/>
      <c r="IK10" s="228"/>
      <c r="IL10" s="228"/>
      <c r="IM10" s="228"/>
      <c r="IN10" s="228"/>
      <c r="IO10" s="228"/>
      <c r="IP10" s="228"/>
      <c r="IQ10" s="228"/>
      <c r="IR10" s="228"/>
      <c r="IS10" s="228"/>
      <c r="IT10" s="228"/>
      <c r="IU10" s="228"/>
      <c r="IV10" s="228"/>
      <c r="IW10" s="228"/>
    </row>
    <row r="11" customFormat="false" ht="12.75" hidden="false" customHeight="false" outlineLevel="0" collapsed="false">
      <c r="A11" s="228"/>
      <c r="B11" s="230" t="s">
        <v>310</v>
      </c>
      <c r="C11" s="228"/>
      <c r="D11" s="235" t="n">
        <f aca="false">+'Financial Data Slide'!E26</f>
        <v>159.246</v>
      </c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  <c r="EE11" s="228"/>
      <c r="EF11" s="228"/>
      <c r="EG11" s="228"/>
      <c r="EH11" s="228"/>
      <c r="EI11" s="228"/>
      <c r="EJ11" s="228"/>
      <c r="EK11" s="228"/>
      <c r="EL11" s="228"/>
      <c r="EM11" s="228"/>
      <c r="EN11" s="228"/>
      <c r="EO11" s="228"/>
      <c r="EP11" s="228"/>
      <c r="EQ11" s="228"/>
      <c r="ER11" s="228"/>
      <c r="ES11" s="228"/>
      <c r="ET11" s="228"/>
      <c r="EU11" s="228"/>
      <c r="EV11" s="228"/>
      <c r="EW11" s="228"/>
      <c r="EX11" s="228"/>
      <c r="EY11" s="228"/>
      <c r="EZ11" s="228"/>
      <c r="FA11" s="228"/>
      <c r="FB11" s="228"/>
      <c r="FC11" s="228"/>
      <c r="FD11" s="228"/>
      <c r="FE11" s="228"/>
      <c r="FF11" s="228"/>
      <c r="FG11" s="228"/>
      <c r="FH11" s="228"/>
      <c r="FI11" s="228"/>
      <c r="FJ11" s="228"/>
      <c r="FK11" s="228"/>
      <c r="FL11" s="228"/>
      <c r="FM11" s="228"/>
      <c r="FN11" s="228"/>
      <c r="FO11" s="228"/>
      <c r="FP11" s="228"/>
      <c r="FQ11" s="228"/>
      <c r="FR11" s="228"/>
      <c r="FS11" s="228"/>
      <c r="FT11" s="228"/>
      <c r="FU11" s="228"/>
      <c r="FV11" s="228"/>
      <c r="FW11" s="228"/>
      <c r="FX11" s="228"/>
      <c r="FY11" s="228"/>
      <c r="FZ11" s="228"/>
      <c r="GA11" s="228"/>
      <c r="GB11" s="228"/>
      <c r="GC11" s="228"/>
      <c r="GD11" s="228"/>
      <c r="GE11" s="228"/>
      <c r="GF11" s="228"/>
      <c r="GG11" s="228"/>
      <c r="GH11" s="228"/>
      <c r="GI11" s="228"/>
      <c r="GJ11" s="228"/>
      <c r="GK11" s="228"/>
      <c r="GL11" s="228"/>
      <c r="GM11" s="228"/>
      <c r="GN11" s="228"/>
      <c r="GO11" s="228"/>
      <c r="GP11" s="228"/>
      <c r="GQ11" s="228"/>
      <c r="GR11" s="228"/>
      <c r="GS11" s="228"/>
      <c r="GT11" s="228"/>
      <c r="GU11" s="228"/>
      <c r="GV11" s="228"/>
      <c r="GW11" s="228"/>
      <c r="GX11" s="228"/>
      <c r="GY11" s="228"/>
      <c r="GZ11" s="228"/>
      <c r="HA11" s="228"/>
      <c r="HB11" s="228"/>
      <c r="HC11" s="228"/>
      <c r="HD11" s="228"/>
      <c r="HE11" s="228"/>
      <c r="HF11" s="228"/>
      <c r="HG11" s="228"/>
      <c r="HH11" s="228"/>
      <c r="HI11" s="228"/>
      <c r="HJ11" s="228"/>
      <c r="HK11" s="228"/>
      <c r="HL11" s="228"/>
      <c r="HM11" s="228"/>
      <c r="HN11" s="228"/>
      <c r="HO11" s="228"/>
      <c r="HP11" s="228"/>
      <c r="HQ11" s="228"/>
      <c r="HR11" s="228"/>
      <c r="HS11" s="228"/>
      <c r="HT11" s="228"/>
      <c r="HU11" s="228"/>
      <c r="HV11" s="228"/>
      <c r="HW11" s="228"/>
      <c r="HX11" s="228"/>
      <c r="HY11" s="228"/>
      <c r="HZ11" s="228"/>
      <c r="IA11" s="228"/>
      <c r="IB11" s="228"/>
      <c r="IC11" s="228"/>
      <c r="ID11" s="228"/>
      <c r="IE11" s="228"/>
      <c r="IF11" s="228"/>
      <c r="IG11" s="228"/>
      <c r="IH11" s="228"/>
      <c r="II11" s="228"/>
      <c r="IJ11" s="228"/>
      <c r="IK11" s="228"/>
      <c r="IL11" s="228"/>
      <c r="IM11" s="228"/>
      <c r="IN11" s="228"/>
      <c r="IO11" s="228"/>
      <c r="IP11" s="228"/>
      <c r="IQ11" s="228"/>
      <c r="IR11" s="228"/>
      <c r="IS11" s="228"/>
      <c r="IT11" s="228"/>
      <c r="IU11" s="228"/>
      <c r="IV11" s="228"/>
      <c r="IW11" s="228"/>
    </row>
    <row r="12" customFormat="false" ht="12.75" hidden="false" customHeight="false" outlineLevel="0" collapsed="false">
      <c r="B12" s="236" t="s">
        <v>311</v>
      </c>
      <c r="D12" s="237" t="n">
        <f aca="false">-D11*D10</f>
        <v>-5121.35136</v>
      </c>
      <c r="E12" s="238" t="s">
        <v>218</v>
      </c>
      <c r="F12" s="238" t="s">
        <v>218</v>
      </c>
      <c r="G12" s="238" t="s">
        <v>218</v>
      </c>
      <c r="H12" s="238" t="s">
        <v>218</v>
      </c>
      <c r="I12" s="239" t="n">
        <f aca="false">+I14-I13</f>
        <v>5148.35508888417</v>
      </c>
      <c r="J12" s="237"/>
    </row>
    <row r="13" customFormat="false" ht="18" hidden="false" customHeight="false" outlineLevel="0" collapsed="false">
      <c r="B13" s="236" t="s">
        <v>312</v>
      </c>
      <c r="D13" s="241" t="n">
        <f aca="false">-'Corp I-S&amp;B-S'!C71</f>
        <v>-3549.599</v>
      </c>
      <c r="E13" s="242" t="s">
        <v>218</v>
      </c>
      <c r="F13" s="242" t="s">
        <v>218</v>
      </c>
      <c r="G13" s="242" t="s">
        <v>218</v>
      </c>
      <c r="H13" s="242" t="s">
        <v>218</v>
      </c>
      <c r="I13" s="241" t="n">
        <f aca="false">-(D13+E20+F20+G20+H20)</f>
        <v>451.644911115835</v>
      </c>
      <c r="J13" s="241"/>
    </row>
    <row r="14" customFormat="false" ht="12.75" hidden="false" customHeight="false" outlineLevel="0" collapsed="false">
      <c r="B14" s="223" t="s">
        <v>259</v>
      </c>
      <c r="D14" s="243" t="n">
        <f aca="false">+D13+D12</f>
        <v>-8670.95036</v>
      </c>
      <c r="E14" s="243" t="n">
        <f aca="false">'Expected Transaction'!E23</f>
        <v>1400</v>
      </c>
      <c r="F14" s="243" t="n">
        <f aca="false">'Expected Transaction'!E30</f>
        <v>750</v>
      </c>
      <c r="G14" s="243" t="n">
        <f aca="false">'Expected Transaction'!E36</f>
        <v>1600</v>
      </c>
      <c r="H14" s="275" t="n">
        <f aca="false">'Expected Transaction'!E41</f>
        <v>300</v>
      </c>
      <c r="I14" s="243" t="n">
        <f aca="false">'Expected Transaction'!E47</f>
        <v>5600</v>
      </c>
    </row>
    <row r="15" customFormat="false" ht="12.75" hidden="false" customHeight="false" outlineLevel="0" collapsed="false">
      <c r="D15" s="243"/>
      <c r="E15" s="243"/>
      <c r="F15" s="243"/>
      <c r="G15" s="243"/>
      <c r="I15" s="243"/>
    </row>
    <row r="16" customFormat="false" ht="18" hidden="false" customHeight="false" outlineLevel="0" collapsed="false">
      <c r="B16" s="244" t="s">
        <v>313</v>
      </c>
      <c r="D16" s="242" t="s">
        <v>218</v>
      </c>
      <c r="E16" s="241" t="n">
        <f aca="false">-'Expected Transaction'!G24</f>
        <v>-1061.45521742728</v>
      </c>
      <c r="F16" s="241" t="n">
        <f aca="false">-'Expected Transaction'!G31</f>
        <v>-159.078386145647</v>
      </c>
      <c r="G16" s="241" t="n">
        <f aca="false">-'Expected Transaction'!G37</f>
        <v>-1061.45521742728</v>
      </c>
      <c r="H16" s="241" t="n">
        <f aca="false">-'Expected Transaction'!G42</f>
        <v>-74.385435841778</v>
      </c>
      <c r="I16" s="241" t="n">
        <f aca="false">D12</f>
        <v>-5121.35136</v>
      </c>
      <c r="J16" s="241"/>
    </row>
    <row r="17" customFormat="false" ht="15.75" hidden="false" customHeight="false" outlineLevel="0" collapsed="false">
      <c r="B17" s="244" t="s">
        <v>314</v>
      </c>
      <c r="D17" s="245" t="s">
        <v>218</v>
      </c>
      <c r="E17" s="243" t="n">
        <f aca="false">+SUM(E14:E16)</f>
        <v>338.544782572719</v>
      </c>
      <c r="F17" s="243" t="n">
        <f aca="false">+SUM(F14:F16)</f>
        <v>590.921613854353</v>
      </c>
      <c r="G17" s="243" t="n">
        <f aca="false">SUM(G14:G16)</f>
        <v>538.544782572719</v>
      </c>
      <c r="H17" s="243" t="n">
        <f aca="false">+H14+H16</f>
        <v>225.614564158222</v>
      </c>
      <c r="I17" s="243" t="n">
        <f aca="false">+I12+I16</f>
        <v>27.003728884164</v>
      </c>
      <c r="J17" s="243"/>
    </row>
    <row r="18" customFormat="false" ht="12.75" hidden="false" customHeight="false" outlineLevel="0" collapsed="false">
      <c r="B18" s="244"/>
      <c r="D18" s="245"/>
      <c r="E18" s="243"/>
      <c r="F18" s="243"/>
      <c r="G18" s="243"/>
      <c r="H18" s="243"/>
      <c r="I18" s="243"/>
      <c r="J18" s="243"/>
    </row>
    <row r="19" customFormat="false" ht="12.75" hidden="false" customHeight="false" outlineLevel="0" collapsed="false">
      <c r="B19" s="244" t="s">
        <v>315</v>
      </c>
      <c r="C19" s="247" t="n">
        <v>0.385</v>
      </c>
      <c r="D19" s="243" t="n">
        <v>0</v>
      </c>
      <c r="E19" s="243" t="n">
        <f aca="false">-C19*E17</f>
        <v>-130.339741290497</v>
      </c>
      <c r="F19" s="243" t="n">
        <f aca="false">-$C$19*F17</f>
        <v>-227.504821333926</v>
      </c>
      <c r="G19" s="276" t="n">
        <f aca="false">-$C$19*G17</f>
        <v>-207.339741290497</v>
      </c>
      <c r="H19" s="276" t="n">
        <f aca="false">-H17*$C$19</f>
        <v>-86.8616072009155</v>
      </c>
      <c r="I19" s="276" t="n">
        <f aca="false">-$C$19*I17</f>
        <v>-10.3964356204032</v>
      </c>
      <c r="J19" s="239" t="n">
        <f aca="false">+SUM(E19:I19)</f>
        <v>-662.442346736238</v>
      </c>
    </row>
    <row r="20" customFormat="false" ht="13.5" hidden="false" customHeight="false" outlineLevel="0" collapsed="false">
      <c r="B20" s="244" t="s">
        <v>316</v>
      </c>
      <c r="D20" s="249" t="n">
        <f aca="false">+D14</f>
        <v>-8670.95036</v>
      </c>
      <c r="E20" s="249" t="n">
        <f aca="false">+E14+E19</f>
        <v>1269.6602587095</v>
      </c>
      <c r="F20" s="249" t="n">
        <f aca="false">+F14+F19</f>
        <v>522.495178666074</v>
      </c>
      <c r="G20" s="249" t="n">
        <f aca="false">+G14+G19</f>
        <v>1392.6602587095</v>
      </c>
      <c r="H20" s="249" t="n">
        <f aca="false">+H19</f>
        <v>-86.8616072009155</v>
      </c>
      <c r="I20" s="249" t="n">
        <f aca="false">+I12+I19</f>
        <v>5137.95865326376</v>
      </c>
      <c r="J20" s="249" t="n">
        <f aca="false">+SUM(D20:I20)</f>
        <v>-435.037617852074</v>
      </c>
    </row>
    <row r="21" customFormat="false" ht="13.5" hidden="false" customHeight="false" outlineLevel="0" collapsed="false">
      <c r="B21" s="244"/>
      <c r="D21" s="243"/>
      <c r="E21" s="243"/>
      <c r="F21" s="243"/>
      <c r="G21" s="243"/>
      <c r="H21" s="250"/>
      <c r="I21" s="243"/>
      <c r="J21" s="250"/>
    </row>
    <row r="22" customFormat="false" ht="15.75" hidden="false" customHeight="false" outlineLevel="0" collapsed="false">
      <c r="B22" s="229" t="s">
        <v>317</v>
      </c>
      <c r="D22" s="243"/>
      <c r="E22" s="243"/>
      <c r="F22" s="243"/>
      <c r="G22" s="243"/>
      <c r="H22" s="250"/>
      <c r="I22" s="243"/>
      <c r="J22" s="250"/>
    </row>
    <row r="23" customFormat="false" ht="12.75" hidden="false" customHeight="false" outlineLevel="0" collapsed="false">
      <c r="B23" s="251" t="s">
        <v>318</v>
      </c>
      <c r="D23" s="243" t="n">
        <f aca="false">+'Corp I-S&amp;B-S'!J28</f>
        <v>414.37212</v>
      </c>
      <c r="E23" s="243" t="n">
        <f aca="false">+$D23*(E$26/$D$26)</f>
        <v>171.892385125411</v>
      </c>
      <c r="F23" s="245" t="s">
        <v>218</v>
      </c>
      <c r="G23" s="243" t="n">
        <f aca="false">+$D23*(G$26/$D$26)</f>
        <v>70.4991953003785</v>
      </c>
      <c r="H23" s="243" t="n">
        <f aca="false">+$D23*(H$26/$D$26)</f>
        <v>11.2926888765801</v>
      </c>
      <c r="I23" s="243" t="n">
        <f aca="false">+$D23*(I$26/$D$26)</f>
        <v>171.892385125411</v>
      </c>
      <c r="J23" s="243"/>
    </row>
    <row r="24" customFormat="false" ht="12.75" hidden="false" customHeight="false" outlineLevel="0" collapsed="false">
      <c r="B24" s="251" t="s">
        <v>319</v>
      </c>
      <c r="D24" s="243" t="n">
        <f aca="false">+'Corp I-S&amp;B-S'!J44</f>
        <v>1226.863</v>
      </c>
      <c r="E24" s="243" t="n">
        <f aca="false">+$D24*(E$26/$D$26)</f>
        <v>508.934836861413</v>
      </c>
      <c r="F24" s="243" t="n">
        <f aca="false">+'Sum of Parts-Slide'!D21</f>
        <v>101.728764863858</v>
      </c>
      <c r="G24" s="243" t="n">
        <f aca="false">+$D24*(G$26/$D$26)</f>
        <v>208.732320706828</v>
      </c>
      <c r="H24" s="243" t="n">
        <f aca="false">+$D24*(H$26/$D$26)</f>
        <v>33.4351214391251</v>
      </c>
      <c r="I24" s="243" t="n">
        <f aca="false">+$D24*(I$26/$D$26)</f>
        <v>508.934836861413</v>
      </c>
      <c r="J24" s="243"/>
    </row>
    <row r="25" customFormat="false" ht="12.75" hidden="false" customHeight="false" outlineLevel="0" collapsed="false">
      <c r="B25" s="223" t="s">
        <v>320</v>
      </c>
      <c r="D25" s="243" t="n">
        <f aca="false">+'Corp I-S&amp;B-S'!N56</f>
        <v>2638.367</v>
      </c>
      <c r="E25" s="243" t="n">
        <f aca="false">+$D25*(E$26/$D$26)</f>
        <v>1094.46358617509</v>
      </c>
      <c r="F25" s="243" t="n">
        <f aca="false">+$D25*(F26/$D$26)</f>
        <v>161.306295335038</v>
      </c>
      <c r="G25" s="243" t="n">
        <f aca="false">+$D25*(G$26/$D$26)</f>
        <v>448.878535571055</v>
      </c>
      <c r="H25" s="243" t="n">
        <f aca="false">+$D25*(H$26/$D$26)</f>
        <v>71.9021773792022</v>
      </c>
      <c r="I25" s="243" t="n">
        <f aca="false">+$D25*(I$26/$D$26)</f>
        <v>1094.46358617509</v>
      </c>
      <c r="J25" s="243"/>
    </row>
    <row r="26" customFormat="false" ht="15.75" hidden="false" customHeight="false" outlineLevel="0" collapsed="false">
      <c r="B26" s="251" t="s">
        <v>321</v>
      </c>
      <c r="D26" s="243" t="n">
        <f aca="false">+'Corp I-S&amp;B-S'!N20</f>
        <v>6168.418</v>
      </c>
      <c r="E26" s="243" t="n">
        <f aca="false">'Tax Basis'!H7</f>
        <v>2558.821</v>
      </c>
      <c r="F26" s="243" t="n">
        <f aca="false">'Tax Basis'!G7</f>
        <v>377.128980031194</v>
      </c>
      <c r="G26" s="243" t="n">
        <f aca="false">+'Tax Basis'!F7</f>
        <v>1049.463717</v>
      </c>
      <c r="H26" s="243" t="n">
        <f aca="false">'Tax Basis'!M7</f>
        <v>168.105000246389</v>
      </c>
      <c r="I26" s="243" t="n">
        <f aca="false">+'Tax Basis'!H7</f>
        <v>2558.821</v>
      </c>
      <c r="J26" s="243"/>
    </row>
    <row r="27" customFormat="false" ht="15.75" hidden="false" customHeight="false" outlineLevel="0" collapsed="false">
      <c r="B27" s="251" t="s">
        <v>322</v>
      </c>
      <c r="D27" s="243" t="n">
        <f aca="false">+'Sum of Parts-Slide'!D30+'Sum of Parts-Slide'!D36</f>
        <v>11289.25</v>
      </c>
      <c r="E27" s="243"/>
      <c r="F27" s="243"/>
      <c r="G27" s="243"/>
      <c r="H27" s="243" t="n">
        <f aca="false">+'Sum of Parts-Slide'!D36</f>
        <v>1785.84</v>
      </c>
      <c r="I27" s="243" t="n">
        <f aca="false">'Sum of Parts-Slide'!D30</f>
        <v>9503.41</v>
      </c>
      <c r="J27" s="243" t="n">
        <f aca="false">+'Sum of Parts-Slide'!D36</f>
        <v>1785.84</v>
      </c>
    </row>
    <row r="28" customFormat="false" ht="12.75" hidden="false" customHeight="false" outlineLevel="0" collapsed="false">
      <c r="B28" s="251"/>
      <c r="D28" s="243"/>
      <c r="E28" s="243"/>
      <c r="F28" s="243"/>
      <c r="G28" s="243"/>
      <c r="H28" s="240"/>
      <c r="I28" s="243"/>
    </row>
    <row r="29" customFormat="false" ht="15.75" hidden="false" customHeight="false" outlineLevel="0" collapsed="false">
      <c r="B29" s="252" t="s">
        <v>323</v>
      </c>
      <c r="D29" s="243"/>
      <c r="E29" s="243"/>
      <c r="F29" s="243"/>
      <c r="G29" s="243"/>
      <c r="I29" s="243"/>
    </row>
    <row r="30" customFormat="false" ht="15.75" hidden="false" customHeight="false" outlineLevel="0" collapsed="false">
      <c r="B30" s="236" t="s">
        <v>324</v>
      </c>
      <c r="D30" s="253" t="n">
        <f aca="false">+ABS(D14/D24)</f>
        <v>7.06757833596742</v>
      </c>
      <c r="E30" s="254" t="n">
        <f aca="false">+E14/E24</f>
        <v>2.75084332727891</v>
      </c>
      <c r="F30" s="253" t="n">
        <f aca="false">+F14/F24</f>
        <v>7.37254601492225</v>
      </c>
      <c r="G30" s="254" t="n">
        <f aca="false">+G14/G24</f>
        <v>7.66531984400852</v>
      </c>
      <c r="H30" s="254" t="n">
        <f aca="false">+H14/H24</f>
        <v>8.97260087857632</v>
      </c>
      <c r="I30" s="254" t="n">
        <f aca="false">+I14/I24</f>
        <v>11.0033733091157</v>
      </c>
      <c r="J30" s="254"/>
    </row>
    <row r="31" customFormat="false" ht="12.75" hidden="false" customHeight="false" outlineLevel="0" collapsed="false">
      <c r="B31" s="223" t="s">
        <v>325</v>
      </c>
      <c r="D31" s="254" t="n">
        <f aca="false">ABS(D14/D26)</f>
        <v>1.40570083934001</v>
      </c>
      <c r="E31" s="253" t="n">
        <f aca="false">+E14/E26</f>
        <v>0.547126977619771</v>
      </c>
      <c r="F31" s="254" t="n">
        <f aca="false">+F14/F26</f>
        <v>1.98870953894332</v>
      </c>
      <c r="G31" s="254" t="n">
        <f aca="false">+G14/G26</f>
        <v>1.52458820069908</v>
      </c>
      <c r="H31" s="254" t="n">
        <f aca="false">+H14/H26</f>
        <v>1.78459890877901</v>
      </c>
      <c r="I31" s="254" t="n">
        <f aca="false">+I14/I26</f>
        <v>2.18850791047908</v>
      </c>
      <c r="J31" s="254"/>
    </row>
    <row r="32" customFormat="false" ht="12.75" hidden="false" customHeight="false" outlineLevel="0" collapsed="false">
      <c r="B32" s="223" t="s">
        <v>326</v>
      </c>
      <c r="D32" s="254" t="n">
        <f aca="false">ABS(D12/D25)</f>
        <v>1.9411065102012</v>
      </c>
      <c r="E32" s="238" t="s">
        <v>218</v>
      </c>
      <c r="F32" s="238" t="s">
        <v>218</v>
      </c>
      <c r="G32" s="245" t="s">
        <v>218</v>
      </c>
      <c r="H32" s="245" t="s">
        <v>218</v>
      </c>
      <c r="I32" s="245" t="s">
        <v>218</v>
      </c>
      <c r="J32" s="254"/>
    </row>
    <row r="33" customFormat="false" ht="12.75" hidden="false" customHeight="false" outlineLevel="0" collapsed="false">
      <c r="B33" s="223" t="s">
        <v>327</v>
      </c>
      <c r="D33" s="253" t="n">
        <f aca="false">ABS(D12/D23)</f>
        <v>12.3593048682908</v>
      </c>
      <c r="E33" s="238" t="s">
        <v>218</v>
      </c>
      <c r="F33" s="238" t="s">
        <v>218</v>
      </c>
      <c r="G33" s="245" t="s">
        <v>218</v>
      </c>
      <c r="H33" s="245" t="s">
        <v>218</v>
      </c>
      <c r="I33" s="245" t="s">
        <v>218</v>
      </c>
      <c r="J33" s="254"/>
    </row>
    <row r="34" customFormat="false" ht="12.75" hidden="false" customHeight="false" outlineLevel="0" collapsed="false">
      <c r="B34" s="223" t="s">
        <v>328</v>
      </c>
      <c r="D34" s="245" t="s">
        <v>218</v>
      </c>
      <c r="E34" s="245" t="s">
        <v>218</v>
      </c>
      <c r="F34" s="245" t="s">
        <v>218</v>
      </c>
      <c r="G34" s="245" t="s">
        <v>218</v>
      </c>
      <c r="H34" s="245" t="s">
        <v>218</v>
      </c>
      <c r="I34" s="255" t="n">
        <f aca="false">I20/I27*1000</f>
        <v>540.64369034523</v>
      </c>
      <c r="J34" s="237" t="n">
        <f aca="false">-J20/J27*1000</f>
        <v>243.603916281455</v>
      </c>
    </row>
    <row r="37" customFormat="false" ht="12.75" hidden="false" customHeight="false" outlineLevel="0" collapsed="false">
      <c r="A37" s="223" t="n">
        <v>1</v>
      </c>
      <c r="B37" s="236" t="s">
        <v>329</v>
      </c>
    </row>
    <row r="38" customFormat="false" ht="12.75" hidden="false" customHeight="false" outlineLevel="0" collapsed="false">
      <c r="A38" s="223" t="n">
        <v>2</v>
      </c>
      <c r="B38" s="236" t="s">
        <v>330</v>
      </c>
    </row>
    <row r="39" customFormat="false" ht="12.75" hidden="false" customHeight="false" outlineLevel="0" collapsed="false">
      <c r="A39" s="223" t="n">
        <v>3</v>
      </c>
      <c r="B39" s="223" t="s">
        <v>331</v>
      </c>
    </row>
    <row r="40" customFormat="false" ht="12.75" hidden="false" customHeight="false" outlineLevel="0" collapsed="false">
      <c r="A40" s="223" t="n">
        <v>4</v>
      </c>
      <c r="B40" s="3" t="s">
        <v>332</v>
      </c>
    </row>
    <row r="41" customFormat="false" ht="12.75" hidden="false" customHeight="false" outlineLevel="0" collapsed="false">
      <c r="A41" s="223" t="n">
        <v>5</v>
      </c>
      <c r="B41" s="223" t="s">
        <v>333</v>
      </c>
    </row>
    <row r="42" customFormat="false" ht="12.75" hidden="false" customHeight="false" outlineLevel="0" collapsed="false">
      <c r="A42" s="223" t="n">
        <v>6</v>
      </c>
      <c r="B42" s="236" t="s">
        <v>376</v>
      </c>
      <c r="N42" s="278"/>
    </row>
    <row r="43" customFormat="false" ht="12.75" hidden="false" customHeight="false" outlineLevel="0" collapsed="false">
      <c r="A43" s="223" t="n">
        <v>7</v>
      </c>
      <c r="B43" s="223" t="s">
        <v>335</v>
      </c>
    </row>
    <row r="44" customFormat="false" ht="12.75" hidden="false" customHeight="false" outlineLevel="0" collapsed="false">
      <c r="A44" s="223" t="n">
        <v>8</v>
      </c>
      <c r="B44" s="223" t="s">
        <v>336</v>
      </c>
    </row>
    <row r="45" customFormat="false" ht="12.75" hidden="false" customHeight="false" outlineLevel="0" collapsed="false">
      <c r="A45" s="223" t="n">
        <v>9</v>
      </c>
      <c r="B45" s="223" t="s">
        <v>337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&amp;L&amp;P&amp;C&amp;D&amp;T&amp;R&amp;F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6" width="2.42"/>
    <col collapsed="false" customWidth="true" hidden="false" outlineLevel="0" max="2" min="2" style="26" width="50.84"/>
    <col collapsed="false" customWidth="true" hidden="false" outlineLevel="0" max="3" min="3" style="26" width="12.99"/>
    <col collapsed="false" customWidth="false" hidden="false" outlineLevel="0" max="4" min="4" style="26" width="9.14"/>
    <col collapsed="false" customWidth="true" hidden="false" outlineLevel="0" max="5" min="5" style="26" width="11.28"/>
    <col collapsed="false" customWidth="true" hidden="false" outlineLevel="0" max="6" min="6" style="26" width="11.56"/>
    <col collapsed="false" customWidth="true" hidden="false" outlineLevel="0" max="9" min="7" style="26" width="15.7"/>
    <col collapsed="false" customWidth="true" hidden="false" outlineLevel="0" max="10" min="10" style="26" width="11.28"/>
    <col collapsed="false" customWidth="true" hidden="false" outlineLevel="0" max="11" min="11" style="26" width="11.13"/>
    <col collapsed="false" customWidth="false" hidden="false" outlineLevel="0" max="257" min="12" style="26" width="9.14"/>
  </cols>
  <sheetData>
    <row r="1" customFormat="false" ht="18.75" hidden="false" customHeight="false" outlineLevel="0" collapsed="false">
      <c r="A1" s="69" t="s">
        <v>377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24.75" hidden="false" customHeight="true" outlineLevel="0" collapsed="false">
      <c r="A3" s="279" t="s">
        <v>378</v>
      </c>
      <c r="B3" s="3"/>
      <c r="C3" s="280" t="n">
        <f aca="false">+'Corp I-S&amp;B-S'!D54</f>
        <v>21.4375</v>
      </c>
      <c r="D3" s="3"/>
      <c r="E3" s="3"/>
      <c r="F3" s="3"/>
      <c r="G3" s="3"/>
      <c r="H3" s="3"/>
      <c r="I3" s="3"/>
      <c r="J3" s="3"/>
      <c r="K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8.75" hidden="false" customHeight="false" outlineLevel="0" collapsed="false">
      <c r="A5" s="3"/>
      <c r="B5" s="3"/>
      <c r="C5" s="281" t="s">
        <v>159</v>
      </c>
      <c r="D5" s="281"/>
      <c r="E5" s="281"/>
      <c r="F5" s="282"/>
      <c r="G5" s="281" t="s">
        <v>379</v>
      </c>
      <c r="H5" s="281"/>
      <c r="I5" s="281"/>
      <c r="J5" s="3"/>
      <c r="K5" s="3"/>
    </row>
    <row r="6" customFormat="false" ht="19.5" hidden="false" customHeight="false" outlineLevel="0" collapsed="false">
      <c r="A6" s="283" t="s">
        <v>380</v>
      </c>
      <c r="B6" s="15"/>
      <c r="C6" s="284"/>
      <c r="D6" s="284"/>
      <c r="E6" s="284"/>
      <c r="F6" s="70"/>
      <c r="G6" s="284"/>
      <c r="H6" s="284"/>
      <c r="I6" s="284"/>
      <c r="J6" s="3"/>
      <c r="K6" s="3"/>
    </row>
    <row r="7" customFormat="false" ht="19.5" hidden="false" customHeight="false" outlineLevel="0" collapsed="false">
      <c r="A7" s="279"/>
      <c r="B7" s="69" t="s">
        <v>381</v>
      </c>
      <c r="C7" s="285" t="n">
        <f aca="false">'Corporate Comparable Trading'!I29</f>
        <v>24.2401412706807</v>
      </c>
      <c r="D7" s="286" t="s">
        <v>132</v>
      </c>
      <c r="E7" s="285" t="n">
        <f aca="false">'Corporate Comparable Trading'!K29</f>
        <v>29.2765291732769</v>
      </c>
      <c r="F7" s="282"/>
      <c r="G7" s="287" t="n">
        <f aca="false">'Corporate Comparable Trading'!I33</f>
        <v>0.13073545285974</v>
      </c>
      <c r="H7" s="286" t="s">
        <v>132</v>
      </c>
      <c r="I7" s="287" t="n">
        <f aca="false">'Corporate Comparable Trading'!K33</f>
        <v>0.365668999336533</v>
      </c>
      <c r="J7" s="3"/>
      <c r="K7" s="3"/>
    </row>
    <row r="8" customFormat="false" ht="19.5" hidden="false" customHeight="false" outlineLevel="0" collapsed="false">
      <c r="A8" s="279"/>
      <c r="B8" s="69" t="s">
        <v>382</v>
      </c>
      <c r="C8" s="285" t="n">
        <f aca="false">'Corporate Compac Valuation'!I29</f>
        <v>34.3129170758732</v>
      </c>
      <c r="D8" s="286" t="s">
        <v>132</v>
      </c>
      <c r="E8" s="285" t="n">
        <f aca="false">'Corporate Compac Valuation'!K29</f>
        <v>42.1822731736798</v>
      </c>
      <c r="F8" s="282"/>
      <c r="G8" s="287" t="n">
        <f aca="false">'Corporate Compac Valuation'!I33</f>
        <v>0.600602545813327</v>
      </c>
      <c r="H8" s="286" t="s">
        <v>132</v>
      </c>
      <c r="I8" s="287" t="n">
        <f aca="false">'Corporate Compac Valuation'!K33</f>
        <v>0.967686212183316</v>
      </c>
      <c r="J8" s="3"/>
      <c r="K8" s="3"/>
    </row>
    <row r="9" customFormat="false" ht="9.75" hidden="false" customHeight="true" outlineLevel="0" collapsed="false">
      <c r="A9" s="3"/>
      <c r="B9" s="288"/>
      <c r="C9" s="288"/>
      <c r="D9" s="288"/>
      <c r="E9" s="288"/>
      <c r="F9" s="288"/>
      <c r="G9" s="288"/>
      <c r="H9" s="288"/>
      <c r="I9" s="288"/>
      <c r="J9" s="288"/>
      <c r="K9" s="3"/>
    </row>
    <row r="10" customFormat="false" ht="19.5" hidden="false" customHeight="false" outlineLevel="0" collapsed="false">
      <c r="A10" s="283" t="s">
        <v>383</v>
      </c>
      <c r="B10" s="15"/>
      <c r="C10" s="286"/>
      <c r="D10" s="286"/>
      <c r="E10" s="286"/>
      <c r="F10" s="282"/>
      <c r="G10" s="286"/>
      <c r="H10" s="286"/>
      <c r="I10" s="286"/>
      <c r="J10" s="3"/>
      <c r="K10" s="3"/>
    </row>
    <row r="11" customFormat="false" ht="18.75" hidden="false" customHeight="false" outlineLevel="0" collapsed="false">
      <c r="A11" s="3"/>
      <c r="B11" s="69" t="s">
        <v>384</v>
      </c>
      <c r="C11" s="285" t="n">
        <f aca="false">'Sum of Parts-Slide'!M49</f>
        <v>27.3187458397699</v>
      </c>
      <c r="D11" s="286" t="s">
        <v>132</v>
      </c>
      <c r="E11" s="285" t="n">
        <f aca="false">'Sum of Parts-Slide'!O49</f>
        <v>34.5402773068083</v>
      </c>
      <c r="F11" s="282"/>
      <c r="G11" s="287" t="n">
        <f aca="false">+'Sum of Parts-Slide'!M52</f>
        <v>0.274343829260404</v>
      </c>
      <c r="H11" s="286" t="s">
        <v>132</v>
      </c>
      <c r="I11" s="287" t="n">
        <f aca="false">+'Sum of Parts-Slide'!O52</f>
        <v>0.611208270871526</v>
      </c>
      <c r="J11" s="3"/>
      <c r="K11" s="3"/>
    </row>
    <row r="12" customFormat="false" ht="6.75" hidden="false" customHeight="tru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customFormat="false" ht="24" hidden="false" customHeight="false" outlineLevel="0" collapsed="false">
      <c r="A13" s="289" t="s">
        <v>385</v>
      </c>
      <c r="B13" s="290"/>
      <c r="C13" s="291"/>
      <c r="D13" s="292"/>
      <c r="E13" s="293" t="s">
        <v>386</v>
      </c>
      <c r="F13" s="293"/>
      <c r="G13" s="293"/>
      <c r="H13" s="293"/>
      <c r="I13" s="293"/>
      <c r="J13" s="293"/>
      <c r="K13" s="293"/>
    </row>
    <row r="14" customFormat="false" ht="12.75" hidden="false" customHeight="false" outlineLevel="0" collapsed="false">
      <c r="A14" s="3"/>
      <c r="B14" s="70"/>
      <c r="C14" s="294" t="s">
        <v>387</v>
      </c>
      <c r="D14" s="295"/>
      <c r="E14" s="210" t="n">
        <v>0</v>
      </c>
      <c r="F14" s="210" t="n">
        <v>0.2</v>
      </c>
      <c r="G14" s="210" t="n">
        <v>0.25</v>
      </c>
      <c r="H14" s="210" t="n">
        <v>0.3</v>
      </c>
      <c r="I14" s="210" t="n">
        <v>0.35</v>
      </c>
      <c r="J14" s="210" t="n">
        <v>0.4</v>
      </c>
      <c r="K14" s="210" t="n">
        <v>0.45</v>
      </c>
      <c r="M14" s="296" t="s">
        <v>388</v>
      </c>
    </row>
    <row r="15" customFormat="false" ht="15.75" hidden="false" customHeight="false" outlineLevel="0" collapsed="false">
      <c r="A15" s="3"/>
      <c r="B15" s="70"/>
      <c r="C15" s="297" t="s">
        <v>389</v>
      </c>
      <c r="D15" s="295"/>
      <c r="E15" s="298" t="n">
        <f aca="false">C3</f>
        <v>21.4375</v>
      </c>
      <c r="F15" s="206" t="n">
        <f aca="false">$E$15*(1+F14)</f>
        <v>25.725</v>
      </c>
      <c r="G15" s="206" t="n">
        <f aca="false">$E$15*(1+G14)</f>
        <v>26.796875</v>
      </c>
      <c r="H15" s="206" t="n">
        <f aca="false">$E$15*(1+H14)</f>
        <v>27.86875</v>
      </c>
      <c r="I15" s="206" t="n">
        <f aca="false">$E$15*(1+I14)</f>
        <v>28.940625</v>
      </c>
      <c r="J15" s="206" t="n">
        <f aca="false">$E$15*(1+J14)</f>
        <v>30.0125</v>
      </c>
      <c r="K15" s="206" t="n">
        <f aca="false">$E$15*(1+K14)</f>
        <v>31.084375</v>
      </c>
      <c r="M15" s="299" t="s">
        <v>390</v>
      </c>
    </row>
    <row r="16" customFormat="false" ht="19.5" hidden="false" customHeight="true" outlineLevel="0" collapsed="false">
      <c r="A16" s="300" t="s">
        <v>68</v>
      </c>
      <c r="B16" s="301"/>
      <c r="C16" s="302"/>
      <c r="D16" s="303"/>
      <c r="E16" s="304" t="n">
        <f aca="false">E15*'Corp I-S&amp;B-S'!$H$41</f>
        <v>3413.836125</v>
      </c>
      <c r="F16" s="304" t="n">
        <f aca="false">F15*'Corp I-S&amp;B-S'!$H$41</f>
        <v>4096.60335</v>
      </c>
      <c r="G16" s="304" t="n">
        <f aca="false">G15*'Corp I-S&amp;B-S'!$H$41</f>
        <v>4267.29515625</v>
      </c>
      <c r="H16" s="304" t="n">
        <f aca="false">H15*'Corp I-S&amp;B-S'!$H$41</f>
        <v>4437.9869625</v>
      </c>
      <c r="I16" s="304" t="n">
        <f aca="false">I15*'Corp I-S&amp;B-S'!$H$41</f>
        <v>4608.67876875</v>
      </c>
      <c r="J16" s="304" t="n">
        <f aca="false">J15*'Corp I-S&amp;B-S'!$H$41</f>
        <v>4779.370575</v>
      </c>
      <c r="K16" s="305" t="n">
        <f aca="false">K15*'Corp I-S&amp;B-S'!$H$41</f>
        <v>4950.06238125</v>
      </c>
    </row>
    <row r="17" customFormat="false" ht="15" hidden="false" customHeight="true" outlineLevel="0" collapsed="false">
      <c r="A17" s="3"/>
      <c r="B17" s="70" t="s">
        <v>391</v>
      </c>
      <c r="C17" s="306" t="n">
        <f aca="false">'Trading Comps'!Y20</f>
        <v>13.608032433171</v>
      </c>
      <c r="D17" s="129"/>
      <c r="E17" s="307" t="n">
        <f aca="false">E15/$M$17</f>
        <v>8.45760496332137</v>
      </c>
      <c r="F17" s="307" t="n">
        <f aca="false">F15/$M$17</f>
        <v>10.1491259559856</v>
      </c>
      <c r="G17" s="307" t="n">
        <f aca="false">G15/$M$17</f>
        <v>10.5720062041517</v>
      </c>
      <c r="H17" s="307" t="n">
        <f aca="false">H15/$M$17</f>
        <v>10.9948864523178</v>
      </c>
      <c r="I17" s="307" t="n">
        <f aca="false">I15/$M$17</f>
        <v>11.4177667004838</v>
      </c>
      <c r="J17" s="307" t="n">
        <f aca="false">J15/$M$17</f>
        <v>11.8406469486499</v>
      </c>
      <c r="K17" s="307" t="n">
        <f aca="false">K15/$M$17</f>
        <v>12.263527196816</v>
      </c>
      <c r="M17" s="308" t="n">
        <f aca="false">'Corp I-S&amp;B-S'!I33</f>
        <v>2.53470102859726</v>
      </c>
    </row>
    <row r="18" customFormat="false" ht="15.75" hidden="false" customHeight="false" outlineLevel="0" collapsed="false">
      <c r="A18" s="3"/>
      <c r="B18" s="70" t="s">
        <v>392</v>
      </c>
      <c r="C18" s="306" t="n">
        <f aca="false">'Trading Comps'!AA20</f>
        <v>11.3288285682259</v>
      </c>
      <c r="D18" s="129"/>
      <c r="E18" s="307" t="n">
        <f aca="false">E15/$M$18</f>
        <v>8.23857581200202</v>
      </c>
      <c r="F18" s="307" t="n">
        <f aca="false">F15/$M$18</f>
        <v>9.88629097440243</v>
      </c>
      <c r="G18" s="307" t="n">
        <f aca="false">G15/$M$18</f>
        <v>10.2982197650025</v>
      </c>
      <c r="H18" s="307" t="n">
        <f aca="false">H15/$M$18</f>
        <v>10.7101485556026</v>
      </c>
      <c r="I18" s="307" t="n">
        <f aca="false">I15/$M$18</f>
        <v>11.1220773462027</v>
      </c>
      <c r="J18" s="307" t="n">
        <f aca="false">J15/$M$18</f>
        <v>11.5340061368028</v>
      </c>
      <c r="K18" s="307" t="n">
        <f aca="false">K15/$M$18</f>
        <v>11.9459349274029</v>
      </c>
      <c r="M18" s="308" t="n">
        <f aca="false">'Corp I-S&amp;B-S'!J33</f>
        <v>2.60208809012471</v>
      </c>
    </row>
    <row r="19" customFormat="false" ht="15.75" hidden="true" customHeight="false" outlineLevel="0" collapsed="false">
      <c r="A19" s="3"/>
      <c r="B19" s="70" t="s">
        <v>393</v>
      </c>
      <c r="C19" s="306" t="s">
        <v>394</v>
      </c>
      <c r="D19" s="129"/>
      <c r="E19" s="307" t="n">
        <f aca="false">E$16/$M19</f>
        <v>3.51217708333333</v>
      </c>
      <c r="F19" s="307" t="n">
        <f aca="false">F$16/$M19</f>
        <v>4.2146125</v>
      </c>
      <c r="G19" s="307" t="n">
        <f aca="false">G$16/$M19</f>
        <v>4.39022135416667</v>
      </c>
      <c r="H19" s="307" t="n">
        <f aca="false">H$16/$M19</f>
        <v>4.56583020833334</v>
      </c>
      <c r="I19" s="307" t="n">
        <f aca="false">I$16/$M19</f>
        <v>4.7414390625</v>
      </c>
      <c r="J19" s="307" t="n">
        <f aca="false">J$16/$M19</f>
        <v>4.91704791666667</v>
      </c>
      <c r="K19" s="307" t="n">
        <f aca="false">K$16/$M19</f>
        <v>5.09265677083333</v>
      </c>
      <c r="M19" s="309" t="n">
        <v>972</v>
      </c>
    </row>
    <row r="20" customFormat="false" ht="15.75" hidden="true" customHeight="false" outlineLevel="0" collapsed="false">
      <c r="A20" s="3"/>
      <c r="B20" s="70" t="s">
        <v>395</v>
      </c>
      <c r="C20" s="306" t="s">
        <v>394</v>
      </c>
      <c r="D20" s="129"/>
      <c r="E20" s="307" t="n">
        <f aca="false">E$16/$M20</f>
        <v>2.42632276119403</v>
      </c>
      <c r="F20" s="307" t="n">
        <f aca="false">F$16/$M20</f>
        <v>2.91158731343284</v>
      </c>
      <c r="G20" s="307" t="n">
        <f aca="false">G$16/$M20</f>
        <v>3.03290345149254</v>
      </c>
      <c r="H20" s="307" t="n">
        <f aca="false">H$16/$M20</f>
        <v>3.15421958955224</v>
      </c>
      <c r="I20" s="307" t="n">
        <f aca="false">I$16/$M20</f>
        <v>3.27553572761194</v>
      </c>
      <c r="J20" s="307" t="n">
        <f aca="false">J$16/$M20</f>
        <v>3.39685186567164</v>
      </c>
      <c r="K20" s="307" t="n">
        <f aca="false">K$16/$M20</f>
        <v>3.51816800373134</v>
      </c>
      <c r="M20" s="309" t="n">
        <v>1407</v>
      </c>
    </row>
    <row r="21" customFormat="false" ht="12.75" hidden="false" customHeight="false" outlineLevel="0" collapsed="false">
      <c r="A21" s="3"/>
      <c r="B21" s="70" t="s">
        <v>396</v>
      </c>
      <c r="C21" s="306" t="n">
        <f aca="false">'SSB Comps'!M50</f>
        <v>1.11858374948404</v>
      </c>
      <c r="D21" s="129"/>
      <c r="E21" s="307" t="n">
        <f aca="false">E$16/$M21</f>
        <v>1.29392011232706</v>
      </c>
      <c r="F21" s="307" t="n">
        <f aca="false">F$16/$M21</f>
        <v>1.55270413479247</v>
      </c>
      <c r="G21" s="307" t="n">
        <f aca="false">G$16/$M21</f>
        <v>1.61740014040882</v>
      </c>
      <c r="H21" s="307" t="n">
        <f aca="false">H$16/$M21</f>
        <v>1.68209614602517</v>
      </c>
      <c r="I21" s="307" t="n">
        <f aca="false">I$16/$M21</f>
        <v>1.74679215164153</v>
      </c>
      <c r="J21" s="307" t="n">
        <f aca="false">J$16/$M21</f>
        <v>1.81148815725788</v>
      </c>
      <c r="K21" s="307" t="n">
        <f aca="false">K$16/$M21</f>
        <v>1.87618416287423</v>
      </c>
      <c r="M21" s="310" t="n">
        <f aca="false">+'Corp I-S&amp;B-S'!N56</f>
        <v>2638.367</v>
      </c>
    </row>
    <row r="22" customFormat="false" ht="12.75" hidden="false" customHeight="false" outlineLevel="0" collapsed="false">
      <c r="A22" s="3"/>
      <c r="B22" s="70"/>
      <c r="C22" s="311"/>
      <c r="D22" s="129"/>
      <c r="E22" s="307"/>
      <c r="F22" s="307"/>
      <c r="G22" s="307"/>
      <c r="H22" s="307"/>
      <c r="I22" s="307"/>
      <c r="J22" s="307"/>
      <c r="K22" s="307"/>
      <c r="M22" s="310"/>
    </row>
    <row r="23" customFormat="false" ht="18" hidden="false" customHeight="true" outlineLevel="0" collapsed="false">
      <c r="A23" s="300" t="s">
        <v>259</v>
      </c>
      <c r="B23" s="312"/>
      <c r="C23" s="313"/>
      <c r="D23" s="314"/>
      <c r="E23" s="304" t="n">
        <f aca="false">E16+'Corp I-S&amp;B-S'!$C$71</f>
        <v>6963.435125</v>
      </c>
      <c r="F23" s="304" t="n">
        <f aca="false">F16+'Corp I-S&amp;B-S'!$C$71</f>
        <v>7646.20235</v>
      </c>
      <c r="G23" s="304" t="n">
        <f aca="false">G16+'Corp I-S&amp;B-S'!$C$71</f>
        <v>7816.89415625</v>
      </c>
      <c r="H23" s="304" t="n">
        <f aca="false">H16+'Corp I-S&amp;B-S'!$C$71</f>
        <v>7987.5859625</v>
      </c>
      <c r="I23" s="304" t="n">
        <f aca="false">I16+'Corp I-S&amp;B-S'!$C$71</f>
        <v>8158.27776875</v>
      </c>
      <c r="J23" s="304" t="n">
        <f aca="false">J16+'Corp I-S&amp;B-S'!$C$71</f>
        <v>8328.969575</v>
      </c>
      <c r="K23" s="305" t="n">
        <f aca="false">K16+'Corp I-S&amp;B-S'!$C$71</f>
        <v>8499.66138125</v>
      </c>
      <c r="M23" s="315"/>
    </row>
    <row r="24" customFormat="false" ht="16.5" hidden="false" customHeight="true" outlineLevel="0" collapsed="false">
      <c r="A24" s="3"/>
      <c r="B24" s="3" t="s">
        <v>397</v>
      </c>
      <c r="C24" s="306" t="n">
        <f aca="false">'SSB Comps'!T50</f>
        <v>5.51931204433189</v>
      </c>
      <c r="D24" s="129"/>
      <c r="E24" s="307" t="n">
        <f aca="false">E$23/$M24</f>
        <v>6.65047062772967</v>
      </c>
      <c r="F24" s="307" t="n">
        <f aca="false">F$23/$M24</f>
        <v>7.30255157541266</v>
      </c>
      <c r="G24" s="307" t="n">
        <f aca="false">G$23/$M24</f>
        <v>7.4655718123334</v>
      </c>
      <c r="H24" s="307" t="n">
        <f aca="false">H$23/$M24</f>
        <v>7.62859204925415</v>
      </c>
      <c r="I24" s="307" t="n">
        <f aca="false">I$23/$M24</f>
        <v>7.7916122861749</v>
      </c>
      <c r="J24" s="307" t="n">
        <f aca="false">J$23/$M24</f>
        <v>7.95463252309564</v>
      </c>
      <c r="K24" s="307" t="n">
        <f aca="false">K$23/$M24</f>
        <v>8.11765276001639</v>
      </c>
      <c r="M24" s="310" t="n">
        <f aca="false">'Corp I-S&amp;B-S'!I44</f>
        <v>1047.059</v>
      </c>
    </row>
    <row r="25" customFormat="false" ht="15.75" hidden="false" customHeight="false" outlineLevel="0" collapsed="false">
      <c r="A25" s="3"/>
      <c r="B25" s="3" t="s">
        <v>398</v>
      </c>
      <c r="C25" s="306" t="n">
        <f aca="false">'SSB Comps'!U50</f>
        <v>5.27667556813105</v>
      </c>
      <c r="D25" s="129"/>
      <c r="E25" s="307" t="n">
        <f aca="false">E23/$M25</f>
        <v>5.67580497985512</v>
      </c>
      <c r="F25" s="307" t="n">
        <f aca="false">F23/$M25</f>
        <v>6.23231962329942</v>
      </c>
      <c r="G25" s="307" t="n">
        <f aca="false">G23/$M25</f>
        <v>6.3714482841605</v>
      </c>
      <c r="H25" s="307" t="n">
        <f aca="false">H23/$M25</f>
        <v>6.51057694502157</v>
      </c>
      <c r="I25" s="307" t="n">
        <f aca="false">I23/$M25</f>
        <v>6.64970560588264</v>
      </c>
      <c r="J25" s="307" t="n">
        <f aca="false">J23/$M25</f>
        <v>6.78883426674372</v>
      </c>
      <c r="K25" s="307" t="n">
        <f aca="false">K23/$M25</f>
        <v>6.92796292760479</v>
      </c>
      <c r="M25" s="310" t="n">
        <f aca="false">'Corp I-S&amp;B-S'!J44</f>
        <v>1226.863</v>
      </c>
    </row>
    <row r="26" customFormat="false" ht="15.75" hidden="false" customHeight="false" outlineLevel="0" collapsed="false">
      <c r="A26" s="3"/>
      <c r="B26" s="3" t="s">
        <v>399</v>
      </c>
      <c r="C26" s="306" t="n">
        <f aca="false">'SSB Comps'!R50</f>
        <v>8.34351310119799</v>
      </c>
      <c r="D26" s="129"/>
      <c r="E26" s="307" t="n">
        <f aca="false">E$23/$M26</f>
        <v>10.0437975168288</v>
      </c>
      <c r="F26" s="307" t="n">
        <f aca="false">F$23/$M26</f>
        <v>11.0285953408807</v>
      </c>
      <c r="G26" s="307" t="n">
        <f aca="false">G$23/$M26</f>
        <v>11.2747947968937</v>
      </c>
      <c r="H26" s="307" t="n">
        <f aca="false">H$23/$M26</f>
        <v>11.5209942529067</v>
      </c>
      <c r="I26" s="307" t="n">
        <f aca="false">I$23/$M26</f>
        <v>11.7671937089197</v>
      </c>
      <c r="J26" s="307" t="n">
        <f aca="false">J$23/$M26</f>
        <v>12.0133931649327</v>
      </c>
      <c r="K26" s="307" t="n">
        <f aca="false">K$23/$M26</f>
        <v>12.2595926209457</v>
      </c>
      <c r="M26" s="310" t="n">
        <f aca="false">'Corp I-S&amp;B-S'!I16</f>
        <v>693.307</v>
      </c>
    </row>
    <row r="27" customFormat="false" ht="15.75" hidden="false" customHeight="false" outlineLevel="0" collapsed="false">
      <c r="A27" s="3"/>
      <c r="B27" s="3" t="s">
        <v>400</v>
      </c>
      <c r="C27" s="316" t="n">
        <f aca="false">'SSB Comps'!S50</f>
        <v>8.06605314150196</v>
      </c>
      <c r="D27" s="129"/>
      <c r="E27" s="307" t="n">
        <f aca="false">E$23/$M27</f>
        <v>8.02254782063704</v>
      </c>
      <c r="F27" s="307" t="n">
        <f aca="false">F$23/$M27</f>
        <v>8.80916141214747</v>
      </c>
      <c r="G27" s="307" t="n">
        <f aca="false">G$23/$M27</f>
        <v>9.00581481002508</v>
      </c>
      <c r="H27" s="307" t="n">
        <f aca="false">H$23/$M27</f>
        <v>9.20246820790269</v>
      </c>
      <c r="I27" s="307" t="n">
        <f aca="false">I$23/$M27</f>
        <v>9.3991216057803</v>
      </c>
      <c r="J27" s="307" t="n">
        <f aca="false">J$23/$M27</f>
        <v>9.5957750036579</v>
      </c>
      <c r="K27" s="307" t="n">
        <f aca="false">K$23/$M27</f>
        <v>9.79242840153551</v>
      </c>
      <c r="M27" s="310" t="n">
        <f aca="false">'Corp I-S&amp;B-S'!J16</f>
        <v>867.983</v>
      </c>
    </row>
    <row r="28" customFormat="false" ht="12.75" hidden="false" customHeight="false" outlineLevel="0" collapsed="false">
      <c r="A28" s="3"/>
      <c r="B28" s="3"/>
      <c r="C28" s="3"/>
      <c r="D28" s="3"/>
      <c r="E28" s="293" t="s">
        <v>386</v>
      </c>
      <c r="F28" s="293"/>
      <c r="G28" s="293"/>
      <c r="H28" s="293"/>
      <c r="I28" s="293"/>
      <c r="J28" s="293"/>
      <c r="K28" s="293"/>
      <c r="M28" s="310"/>
    </row>
    <row r="29" customFormat="false" ht="23.25" hidden="false" customHeight="true" outlineLevel="0" collapsed="false">
      <c r="A29" s="289" t="s">
        <v>401</v>
      </c>
      <c r="B29" s="14"/>
      <c r="C29" s="14"/>
      <c r="D29" s="18" t="s">
        <v>402</v>
      </c>
      <c r="E29" s="210" t="n">
        <v>0</v>
      </c>
      <c r="F29" s="210" t="n">
        <v>0.2</v>
      </c>
      <c r="G29" s="210" t="n">
        <v>0.25</v>
      </c>
      <c r="H29" s="210" t="n">
        <v>0.3</v>
      </c>
      <c r="I29" s="210" t="n">
        <v>0.35</v>
      </c>
      <c r="J29" s="210" t="n">
        <v>0.4</v>
      </c>
      <c r="K29" s="210" t="n">
        <v>0.45</v>
      </c>
    </row>
    <row r="30" customFormat="false" ht="18.75" hidden="false" customHeight="true" outlineLevel="0" collapsed="false">
      <c r="A30" s="14"/>
      <c r="B30" s="3"/>
      <c r="C30" s="3"/>
      <c r="D30" s="317" t="n">
        <v>2000</v>
      </c>
      <c r="E30" s="318" t="n">
        <f aca="false">+'accretion-dilutionIQ'!J27</f>
        <v>0.44346872457592</v>
      </c>
      <c r="F30" s="318" t="n">
        <f aca="false">+'accretion-dilutionIQ'!K27</f>
        <v>0.392220564876362</v>
      </c>
      <c r="G30" s="318" t="n">
        <f aca="false">+'accretion-dilutionIQ'!L27</f>
        <v>0.379529285306026</v>
      </c>
      <c r="H30" s="318" t="n">
        <f aca="false">+'accretion-dilutionIQ'!M27</f>
        <v>0.366885764554542</v>
      </c>
      <c r="I30" s="318" t="n">
        <f aca="false">+'accretion-dilutionIQ'!N27</f>
        <v>0.354289733544882</v>
      </c>
      <c r="J30" s="318" t="n">
        <f aca="false">+'accretion-dilutionIQ'!O27</f>
        <v>0.341740925217566</v>
      </c>
      <c r="K30" s="318" t="n">
        <f aca="false">+'accretion-dilutionIQ'!P27</f>
        <v>0.329239074511788</v>
      </c>
    </row>
    <row r="31" customFormat="false" ht="12.75" hidden="false" customHeight="false" outlineLevel="0" collapsed="false">
      <c r="A31" s="14"/>
      <c r="B31" s="3"/>
      <c r="C31" s="3"/>
      <c r="D31" s="317" t="n">
        <v>2001</v>
      </c>
      <c r="E31" s="318" t="n">
        <f aca="false">+'accretion-dilutionIQ'!J28</f>
        <v>0.423190114681619</v>
      </c>
      <c r="F31" s="318" t="n">
        <f aca="false">+'accretion-dilutionIQ'!K28</f>
        <v>0.372693036293906</v>
      </c>
      <c r="G31" s="318" t="n">
        <f aca="false">+'accretion-dilutionIQ'!L28</f>
        <v>0.36018280545251</v>
      </c>
      <c r="H31" s="318" t="n">
        <f aca="false">+'accretion-dilutionIQ'!M28</f>
        <v>0.347717696535091</v>
      </c>
      <c r="I31" s="318" t="n">
        <f aca="false">+'accretion-dilutionIQ'!N28</f>
        <v>0.335297465862341</v>
      </c>
      <c r="J31" s="318" t="n">
        <f aca="false">+'accretion-dilutionIQ'!O28</f>
        <v>0.32292187150644</v>
      </c>
      <c r="K31" s="318" t="n">
        <f aca="false">+'accretion-dilutionIQ'!P28</f>
        <v>0.31059067327535</v>
      </c>
    </row>
    <row r="32" customFormat="false" ht="12.75" hidden="false" customHeight="false" outlineLevel="0" collapsed="false">
      <c r="A32" s="14"/>
      <c r="B32" s="14"/>
      <c r="C32" s="14"/>
      <c r="D32" s="319"/>
      <c r="E32" s="319"/>
      <c r="F32" s="319"/>
      <c r="G32" s="319"/>
      <c r="H32" s="3"/>
      <c r="I32" s="3"/>
      <c r="J32" s="3"/>
      <c r="K32" s="3"/>
    </row>
    <row r="33" customFormat="false" ht="12.75" hidden="false" customHeight="false" outlineLevel="0" collapsed="false">
      <c r="A33" s="14" t="s">
        <v>403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2.75" hidden="false" customHeight="false" outlineLevel="0" collapsed="false">
      <c r="A34" s="14" t="s">
        <v>404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2.75" hidden="false" customHeight="false" outlineLevel="0" collapsed="false">
      <c r="A35" s="14" t="s">
        <v>405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2.75" hidden="false" customHeight="false" outlineLevel="0" collapsed="false">
      <c r="A36" s="14" t="s">
        <v>406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2.7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9" customFormat="false" ht="12.75" hidden="false" customHeight="false" outlineLevel="0" collapsed="false">
      <c r="B39" s="320"/>
    </row>
    <row r="40" customFormat="false" ht="12.75" hidden="false" customHeight="false" outlineLevel="0" collapsed="false">
      <c r="B40" s="320"/>
    </row>
    <row r="41" customFormat="false" ht="12.75" hidden="false" customHeight="false" outlineLevel="0" collapsed="false">
      <c r="B41" s="320"/>
    </row>
    <row r="42" customFormat="false" ht="12.75" hidden="false" customHeight="false" outlineLevel="0" collapsed="false">
      <c r="B42" s="320"/>
    </row>
    <row r="43" customFormat="false" ht="12.75" hidden="false" customHeight="false" outlineLevel="0" collapsed="false">
      <c r="B43" s="320"/>
    </row>
    <row r="44" customFormat="false" ht="12.75" hidden="false" customHeight="false" outlineLevel="0" collapsed="false">
      <c r="B44" s="321"/>
    </row>
  </sheetData>
  <mergeCells count="4">
    <mergeCell ref="C5:E5"/>
    <mergeCell ref="G5:I5"/>
    <mergeCell ref="E13:K13"/>
    <mergeCell ref="E28:K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&amp;L&amp;D&amp;T&amp;RPage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2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75" zoomScalePageLayoutView="65" workbookViewId="0">
      <selection pane="topLeft" activeCell="H52" activeCellId="0" sqref="H52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0" width="47.85"/>
    <col collapsed="false" customWidth="true" hidden="false" outlineLevel="0" max="2" min="2" style="0" width="3.42"/>
    <col collapsed="false" customWidth="true" hidden="false" outlineLevel="0" max="3" min="3" style="0" width="17.14"/>
    <col collapsed="false" customWidth="true" hidden="false" outlineLevel="0" max="4" min="4" style="0" width="15.41"/>
    <col collapsed="false" customWidth="true" hidden="false" outlineLevel="0" max="5" min="5" style="0" width="12.99"/>
    <col collapsed="false" customWidth="true" hidden="true" outlineLevel="1" max="7" min="6" style="0" width="12.99"/>
    <col collapsed="false" customWidth="true" hidden="false" outlineLevel="0" max="8" min="8" style="0" width="13.7"/>
    <col collapsed="false" customWidth="true" hidden="false" outlineLevel="0" max="10" min="9" style="322" width="11.56"/>
    <col collapsed="false" customWidth="true" hidden="false" outlineLevel="0" max="11" min="11" style="322" width="10.85"/>
    <col collapsed="false" customWidth="true" hidden="false" outlineLevel="0" max="13" min="13" style="323" width="56.41"/>
    <col collapsed="false" customWidth="true" hidden="false" outlineLevel="0" max="14" min="14" style="324" width="11.13"/>
  </cols>
  <sheetData>
    <row r="1" customFormat="false" ht="12.75" hidden="false" customHeight="false" outlineLevel="0" collapsed="false">
      <c r="A1" s="28" t="s">
        <v>407</v>
      </c>
      <c r="B1" s="28"/>
      <c r="C1" s="28"/>
      <c r="D1" s="28"/>
      <c r="I1" s="0"/>
      <c r="J1" s="0"/>
      <c r="K1" s="0"/>
      <c r="M1" s="325" t="s">
        <v>408</v>
      </c>
    </row>
    <row r="2" customFormat="false" ht="12.75" hidden="false" customHeight="false" outlineLevel="0" collapsed="false">
      <c r="I2" s="0"/>
      <c r="J2" s="0"/>
      <c r="K2" s="0"/>
    </row>
    <row r="3" customFormat="false" ht="13.5" hidden="false" customHeight="false" outlineLevel="0" collapsed="false">
      <c r="A3" s="326" t="s">
        <v>409</v>
      </c>
      <c r="B3" s="326"/>
      <c r="C3" s="327" t="s">
        <v>410</v>
      </c>
      <c r="D3" s="327" t="s">
        <v>411</v>
      </c>
      <c r="E3" s="327" t="s">
        <v>412</v>
      </c>
      <c r="F3" s="327" t="s">
        <v>413</v>
      </c>
      <c r="G3" s="327" t="s">
        <v>414</v>
      </c>
      <c r="H3" s="327" t="s">
        <v>415</v>
      </c>
      <c r="I3" s="327" t="s">
        <v>416</v>
      </c>
      <c r="J3" s="327" t="s">
        <v>417</v>
      </c>
      <c r="K3" s="327" t="s">
        <v>418</v>
      </c>
      <c r="M3" s="328" t="s">
        <v>419</v>
      </c>
      <c r="N3" s="327" t="s">
        <v>420</v>
      </c>
    </row>
    <row r="4" customFormat="false" ht="12.75" hidden="false" customHeight="false" outlineLevel="0" collapsed="false">
      <c r="A4" s="325" t="s">
        <v>421</v>
      </c>
      <c r="B4" s="325"/>
      <c r="C4" s="323"/>
      <c r="D4" s="323"/>
      <c r="E4" s="329"/>
      <c r="F4" s="329"/>
      <c r="G4" s="329"/>
      <c r="H4" s="322"/>
      <c r="M4" s="323" t="s">
        <v>422</v>
      </c>
      <c r="N4" s="330" t="s">
        <v>132</v>
      </c>
    </row>
    <row r="5" customFormat="false" ht="12.75" hidden="false" customHeight="false" outlineLevel="0" collapsed="false">
      <c r="A5" s="323" t="s">
        <v>423</v>
      </c>
      <c r="B5" s="323"/>
      <c r="C5" s="32" t="n">
        <v>2768.706</v>
      </c>
      <c r="D5" s="32" t="n">
        <v>3861.698</v>
      </c>
      <c r="E5" s="32" t="n">
        <v>4747.235</v>
      </c>
      <c r="F5" s="32" t="n">
        <v>3782.857</v>
      </c>
      <c r="G5" s="32" t="n">
        <v>3307.462</v>
      </c>
      <c r="H5" s="331" t="n">
        <f aca="false">G5+E5-F5</f>
        <v>4271.84</v>
      </c>
      <c r="I5" s="331" t="n">
        <v>4312.899</v>
      </c>
      <c r="J5" s="331" t="n">
        <f aca="false">2675.95+1830.4</f>
        <v>4506.35</v>
      </c>
      <c r="K5" s="331" t="n">
        <f aca="false">2722.159+2013.44</f>
        <v>4735.599</v>
      </c>
      <c r="M5" s="323" t="s">
        <v>424</v>
      </c>
      <c r="N5" s="332" t="n">
        <v>57.486</v>
      </c>
    </row>
    <row r="6" customFormat="false" ht="12.75" hidden="false" customHeight="false" outlineLevel="0" collapsed="false">
      <c r="A6" s="323" t="s">
        <v>425</v>
      </c>
      <c r="B6" s="323"/>
      <c r="C6" s="43" t="n">
        <v>474.035</v>
      </c>
      <c r="D6" s="43" t="n">
        <v>491.145</v>
      </c>
      <c r="E6" s="43" t="n">
        <v>1060.664</v>
      </c>
      <c r="F6" s="43" t="n">
        <v>686.923</v>
      </c>
      <c r="G6" s="43" t="n">
        <v>1125.812</v>
      </c>
      <c r="H6" s="46" t="n">
        <f aca="false">G6+E6-F6</f>
        <v>1499.553</v>
      </c>
      <c r="I6" s="46" t="n">
        <v>1596.146</v>
      </c>
      <c r="J6" s="46" t="n">
        <f aca="false">421.998+746.647</f>
        <v>1168.645</v>
      </c>
      <c r="K6" s="46" t="n">
        <f aca="false">432.548+821.312</f>
        <v>1253.86</v>
      </c>
      <c r="L6" s="47"/>
      <c r="M6" s="323" t="s">
        <v>426</v>
      </c>
      <c r="N6" s="332" t="n">
        <v>1.425</v>
      </c>
    </row>
    <row r="7" customFormat="false" ht="12.75" hidden="false" customHeight="false" outlineLevel="0" collapsed="false">
      <c r="A7" s="323" t="s">
        <v>427</v>
      </c>
      <c r="B7" s="323"/>
      <c r="C7" s="333" t="n">
        <v>33.446</v>
      </c>
      <c r="D7" s="333" t="n">
        <v>34.258</v>
      </c>
      <c r="E7" s="333" t="n">
        <v>68.395</v>
      </c>
      <c r="F7" s="333" t="n">
        <v>23.101</v>
      </c>
      <c r="G7" s="333" t="n">
        <v>26.602</v>
      </c>
      <c r="H7" s="38" t="n">
        <f aca="false">G7+E7-F7</f>
        <v>71.896</v>
      </c>
      <c r="I7" s="38" t="n">
        <v>28.843</v>
      </c>
      <c r="J7" s="38" t="n">
        <v>75.405</v>
      </c>
      <c r="K7" s="38" t="n">
        <v>79.176</v>
      </c>
      <c r="M7" s="323" t="s">
        <v>428</v>
      </c>
      <c r="N7" s="332" t="n">
        <v>0.29</v>
      </c>
    </row>
    <row r="8" customFormat="false" ht="38.25" hidden="false" customHeight="false" outlineLevel="0" collapsed="false">
      <c r="A8" s="323"/>
      <c r="B8" s="323"/>
      <c r="C8" s="331" t="n">
        <f aca="false">SUM(C5:C7)</f>
        <v>3276.187</v>
      </c>
      <c r="D8" s="331" t="n">
        <f aca="false">SUM(D5:D7)</f>
        <v>4387.101</v>
      </c>
      <c r="E8" s="331" t="n">
        <f aca="false">SUM(E5:E7)</f>
        <v>5876.294</v>
      </c>
      <c r="F8" s="331" t="n">
        <f aca="false">SUM(F5:F7)</f>
        <v>4492.881</v>
      </c>
      <c r="G8" s="331" t="n">
        <f aca="false">SUM(G5:G7)</f>
        <v>4459.876</v>
      </c>
      <c r="H8" s="331" t="n">
        <f aca="false">SUM(H5:H7)</f>
        <v>5843.289</v>
      </c>
      <c r="I8" s="331" t="n">
        <f aca="false">+SUM(I5:I7)</f>
        <v>5937.888</v>
      </c>
      <c r="J8" s="331" t="n">
        <f aca="false">+SUM(J5:J7)</f>
        <v>5750.4</v>
      </c>
      <c r="K8" s="331" t="n">
        <f aca="false">+SUM(K5:K7)</f>
        <v>6068.635</v>
      </c>
      <c r="M8" s="323" t="s">
        <v>429</v>
      </c>
      <c r="N8" s="332" t="n">
        <v>761.768</v>
      </c>
    </row>
    <row r="9" customFormat="false" ht="12.75" hidden="false" customHeight="false" outlineLevel="0" collapsed="false">
      <c r="A9" s="325" t="s">
        <v>430</v>
      </c>
      <c r="B9" s="325"/>
      <c r="C9" s="334"/>
      <c r="D9" s="334"/>
      <c r="E9" s="334"/>
      <c r="F9" s="334"/>
      <c r="G9" s="334"/>
      <c r="H9" s="322"/>
      <c r="M9" s="323" t="s">
        <v>431</v>
      </c>
      <c r="N9" s="332" t="n">
        <v>208.931</v>
      </c>
    </row>
    <row r="10" customFormat="false" ht="12.75" hidden="false" customHeight="false" outlineLevel="0" collapsed="false">
      <c r="A10" s="323" t="s">
        <v>432</v>
      </c>
      <c r="B10" s="323"/>
      <c r="C10" s="32" t="n">
        <v>872.088</v>
      </c>
      <c r="D10" s="32" t="n">
        <v>1912.793</v>
      </c>
      <c r="E10" s="32" t="n">
        <v>2846.323</v>
      </c>
      <c r="F10" s="32" t="n">
        <v>2318.624</v>
      </c>
      <c r="G10" s="32" t="n">
        <v>1775.586</v>
      </c>
      <c r="H10" s="331" t="n">
        <f aca="false">G10+E10-F10</f>
        <v>2303.285</v>
      </c>
      <c r="I10" s="331" t="n">
        <f aca="false">761.304+1498.993</f>
        <v>2260.297</v>
      </c>
      <c r="J10" s="331" t="n">
        <v>2413.851</v>
      </c>
      <c r="K10" s="331" t="n">
        <v>2611.877</v>
      </c>
      <c r="M10" s="323" t="s">
        <v>433</v>
      </c>
      <c r="N10" s="332" t="n">
        <v>135.817</v>
      </c>
    </row>
    <row r="11" customFormat="false" ht="13.5" hidden="false" customHeight="false" outlineLevel="0" collapsed="false">
      <c r="A11" s="323" t="s">
        <v>434</v>
      </c>
      <c r="B11" s="323"/>
      <c r="C11" s="43" t="n">
        <v>249.116</v>
      </c>
      <c r="D11" s="43" t="n">
        <v>266.158</v>
      </c>
      <c r="E11" s="43" t="n">
        <v>857.01</v>
      </c>
      <c r="F11" s="43" t="n">
        <v>544.488</v>
      </c>
      <c r="G11" s="43" t="n">
        <v>977.174</v>
      </c>
      <c r="H11" s="46" t="n">
        <f aca="false">G11+E11-F11</f>
        <v>1289.696</v>
      </c>
      <c r="I11" s="46" t="n">
        <v>1383.993</v>
      </c>
      <c r="J11" s="46" t="n">
        <v>939.926</v>
      </c>
      <c r="K11" s="46" t="n">
        <v>1010.42</v>
      </c>
      <c r="M11" s="323" t="s">
        <v>435</v>
      </c>
      <c r="N11" s="335" t="n">
        <v>75.208</v>
      </c>
    </row>
    <row r="12" customFormat="false" ht="13.5" hidden="false" customHeight="false" outlineLevel="0" collapsed="false">
      <c r="A12" s="323" t="s">
        <v>436</v>
      </c>
      <c r="B12" s="323"/>
      <c r="C12" s="43" t="n">
        <v>838.218</v>
      </c>
      <c r="D12" s="43" t="n">
        <v>869.867</v>
      </c>
      <c r="E12" s="43" t="n">
        <v>1006.382</v>
      </c>
      <c r="F12" s="43" t="n">
        <v>746.392</v>
      </c>
      <c r="G12" s="43" t="n">
        <v>726.31</v>
      </c>
      <c r="H12" s="46" t="n">
        <f aca="false">G12+E12-F12</f>
        <v>986.3</v>
      </c>
      <c r="I12" s="46" t="n">
        <f aca="false">775.239+205.8</f>
        <v>981.039</v>
      </c>
      <c r="J12" s="46" t="n">
        <v>889.605</v>
      </c>
      <c r="K12" s="46" t="n">
        <v>898.501</v>
      </c>
      <c r="N12" s="336" t="n">
        <v>1240.925</v>
      </c>
    </row>
    <row r="13" customFormat="false" ht="12.75" hidden="false" customHeight="false" outlineLevel="0" collapsed="false">
      <c r="A13" s="323" t="s">
        <v>437</v>
      </c>
      <c r="B13" s="323"/>
      <c r="C13" s="43" t="n">
        <v>294.852</v>
      </c>
      <c r="D13" s="43" t="n">
        <v>306.922</v>
      </c>
      <c r="E13" s="43" t="n">
        <v>325.515</v>
      </c>
      <c r="F13" s="43" t="n">
        <v>242.271</v>
      </c>
      <c r="G13" s="43" t="n">
        <v>263.412</v>
      </c>
      <c r="H13" s="46" t="n">
        <f aca="false">G13+E13-F13</f>
        <v>346.656</v>
      </c>
      <c r="I13" s="46" t="n">
        <f aca="false">323.2+26.19+4.362</f>
        <v>353.752</v>
      </c>
      <c r="J13" s="46" t="n">
        <v>358.88</v>
      </c>
      <c r="K13" s="46" t="n">
        <v>376.824</v>
      </c>
      <c r="M13" s="323" t="s">
        <v>438</v>
      </c>
      <c r="N13" s="330" t="s">
        <v>132</v>
      </c>
    </row>
    <row r="14" customFormat="false" ht="15" hidden="false" customHeight="false" outlineLevel="0" collapsed="false">
      <c r="A14" s="323" t="s">
        <v>439</v>
      </c>
      <c r="B14" s="323"/>
      <c r="C14" s="333" t="n">
        <v>258.375</v>
      </c>
      <c r="D14" s="333" t="n">
        <v>265.693</v>
      </c>
      <c r="E14" s="333" t="n">
        <v>274.635</v>
      </c>
      <c r="F14" s="333" t="n">
        <v>208.125</v>
      </c>
      <c r="G14" s="333" t="n">
        <v>208.688</v>
      </c>
      <c r="H14" s="38" t="n">
        <f aca="false">G14+E14-F14</f>
        <v>275.198</v>
      </c>
      <c r="I14" s="38" t="n">
        <v>265.5</v>
      </c>
      <c r="J14" s="38" t="n">
        <v>280.155</v>
      </c>
      <c r="K14" s="38" t="n">
        <v>282.957</v>
      </c>
      <c r="M14" s="323" t="s">
        <v>440</v>
      </c>
      <c r="N14" s="330" t="s">
        <v>132</v>
      </c>
    </row>
    <row r="15" customFormat="false" ht="13.5" hidden="false" customHeight="false" outlineLevel="0" collapsed="false">
      <c r="A15" s="323"/>
      <c r="B15" s="323"/>
      <c r="C15" s="331" t="n">
        <f aca="false">SUM(C10:C14)</f>
        <v>2512.649</v>
      </c>
      <c r="D15" s="331" t="n">
        <f aca="false">SUM(D10:D14)</f>
        <v>3621.433</v>
      </c>
      <c r="E15" s="331" t="n">
        <f aca="false">SUM(E10:E14)</f>
        <v>5309.865</v>
      </c>
      <c r="F15" s="331" t="n">
        <f aca="false">SUM(F10:F14)</f>
        <v>4059.9</v>
      </c>
      <c r="G15" s="331" t="n">
        <f aca="false">SUM(G10:G14)</f>
        <v>3951.17</v>
      </c>
      <c r="H15" s="331" t="n">
        <f aca="false">SUM(H10:H14)</f>
        <v>5201.135</v>
      </c>
      <c r="I15" s="331" t="n">
        <f aca="false">SUM(I10:I14)</f>
        <v>5244.581</v>
      </c>
      <c r="J15" s="331" t="n">
        <f aca="false">SUM(J10:J14)</f>
        <v>4882.417</v>
      </c>
      <c r="K15" s="331" t="n">
        <f aca="false">SUM(K10:K14)</f>
        <v>5180.579</v>
      </c>
      <c r="M15" s="323" t="s">
        <v>423</v>
      </c>
      <c r="N15" s="332" t="n">
        <v>9330.18</v>
      </c>
    </row>
    <row r="16" customFormat="false" ht="13.5" hidden="false" customHeight="false" outlineLevel="0" collapsed="false">
      <c r="A16" s="325" t="s">
        <v>441</v>
      </c>
      <c r="B16" s="325"/>
      <c r="C16" s="337" t="n">
        <f aca="false">C8-C15</f>
        <v>763.538000000001</v>
      </c>
      <c r="D16" s="337" t="n">
        <f aca="false">D8-D15</f>
        <v>765.668</v>
      </c>
      <c r="E16" s="337" t="n">
        <f aca="false">E8-E15</f>
        <v>566.429</v>
      </c>
      <c r="F16" s="337" t="n">
        <f aca="false">F8-F15</f>
        <v>432.981</v>
      </c>
      <c r="G16" s="337" t="n">
        <f aca="false">G8-G15</f>
        <v>508.706</v>
      </c>
      <c r="H16" s="337" t="n">
        <f aca="false">H8-H15</f>
        <v>642.154</v>
      </c>
      <c r="I16" s="337" t="n">
        <f aca="false">I8-I15</f>
        <v>693.307</v>
      </c>
      <c r="J16" s="337" t="n">
        <f aca="false">J8-J15</f>
        <v>867.983</v>
      </c>
      <c r="K16" s="337" t="n">
        <f aca="false">K8-K15</f>
        <v>888.056000000001</v>
      </c>
      <c r="M16" s="323" t="s">
        <v>425</v>
      </c>
      <c r="N16" s="332" t="n">
        <v>811.552</v>
      </c>
    </row>
    <row r="17" customFormat="false" ht="13.5" hidden="false" customHeight="false" outlineLevel="0" collapsed="false">
      <c r="A17" s="323" t="s">
        <v>442</v>
      </c>
      <c r="B17" s="323"/>
      <c r="C17" s="43" t="n">
        <v>25.43</v>
      </c>
      <c r="D17" s="43" t="n">
        <v>60.392</v>
      </c>
      <c r="E17" s="43" t="n">
        <v>51.484</v>
      </c>
      <c r="F17" s="43" t="n">
        <v>32.992</v>
      </c>
      <c r="G17" s="43" t="n">
        <v>58.076</v>
      </c>
      <c r="H17" s="46" t="n">
        <f aca="false">G17+E17-F17</f>
        <v>76.568</v>
      </c>
      <c r="I17" s="46" t="n">
        <v>20</v>
      </c>
      <c r="J17" s="46" t="n">
        <f aca="false">I17</f>
        <v>20</v>
      </c>
      <c r="K17" s="46" t="n">
        <f aca="false">J17</f>
        <v>20</v>
      </c>
      <c r="M17" s="323" t="s">
        <v>443</v>
      </c>
      <c r="N17" s="335" t="n">
        <v>170.772</v>
      </c>
    </row>
    <row r="18" customFormat="false" ht="13.5" hidden="false" customHeight="false" outlineLevel="0" collapsed="false">
      <c r="A18" s="323" t="s">
        <v>444</v>
      </c>
      <c r="B18" s="323"/>
      <c r="C18" s="43" t="n">
        <v>-16.652</v>
      </c>
      <c r="D18" s="43" t="n">
        <v>-1.534</v>
      </c>
      <c r="E18" s="43" t="n">
        <v>10.346</v>
      </c>
      <c r="F18" s="43" t="n">
        <v>-11.85</v>
      </c>
      <c r="G18" s="43" t="n">
        <f aca="false">99.272-2.965</f>
        <v>96.307</v>
      </c>
      <c r="H18" s="46" t="n">
        <f aca="false">G18+E18-F18</f>
        <v>118.503</v>
      </c>
      <c r="I18" s="46" t="n">
        <v>3</v>
      </c>
      <c r="J18" s="46" t="n">
        <f aca="false">I18</f>
        <v>3</v>
      </c>
      <c r="K18" s="46" t="n">
        <f aca="false">J18</f>
        <v>3</v>
      </c>
      <c r="N18" s="336" t="n">
        <v>10312.504</v>
      </c>
    </row>
    <row r="19" customFormat="false" ht="15.75" hidden="false" customHeight="false" outlineLevel="0" collapsed="false">
      <c r="A19" s="323" t="s">
        <v>445</v>
      </c>
      <c r="B19" s="323"/>
      <c r="C19" s="333" t="n">
        <v>215.603</v>
      </c>
      <c r="D19" s="333" t="n">
        <v>236.319</v>
      </c>
      <c r="E19" s="333" t="n">
        <v>243.587</v>
      </c>
      <c r="F19" s="333" t="n">
        <v>181.51</v>
      </c>
      <c r="G19" s="333" t="n">
        <v>177.957</v>
      </c>
      <c r="H19" s="38" t="n">
        <f aca="false">G19+E19-F19</f>
        <v>240.034</v>
      </c>
      <c r="I19" s="38" t="n">
        <v>235</v>
      </c>
      <c r="J19" s="38" t="n">
        <f aca="false">I19</f>
        <v>235</v>
      </c>
      <c r="K19" s="38" t="n">
        <f aca="false">J19</f>
        <v>235</v>
      </c>
      <c r="M19" s="323" t="s">
        <v>446</v>
      </c>
      <c r="N19" s="335" t="n">
        <v>4206.192</v>
      </c>
    </row>
    <row r="20" customFormat="false" ht="13.5" hidden="false" customHeight="false" outlineLevel="0" collapsed="false">
      <c r="A20" s="325" t="s">
        <v>447</v>
      </c>
      <c r="B20" s="325"/>
      <c r="C20" s="331" t="n">
        <f aca="false">C16+C17+C18-C19</f>
        <v>556.713</v>
      </c>
      <c r="D20" s="331" t="n">
        <f aca="false">D16+D17+D18-D19</f>
        <v>588.207</v>
      </c>
      <c r="E20" s="331" t="n">
        <f aca="false">E16+E17+E18-E19</f>
        <v>384.672</v>
      </c>
      <c r="F20" s="331" t="n">
        <f aca="false">F16+F17+F18-F19</f>
        <v>272.613</v>
      </c>
      <c r="G20" s="331" t="n">
        <f aca="false">G16+G17+G18-G19</f>
        <v>485.132</v>
      </c>
      <c r="H20" s="331" t="n">
        <f aca="false">H16+H17+H18-H19</f>
        <v>597.191</v>
      </c>
      <c r="I20" s="331" t="n">
        <f aca="false">I16+I17+I18-I19</f>
        <v>481.307</v>
      </c>
      <c r="J20" s="331" t="n">
        <f aca="false">J16+J17+J18-J19</f>
        <v>655.983</v>
      </c>
      <c r="K20" s="331" t="n">
        <f aca="false">K16+K17+K18-K19</f>
        <v>676.056000000001</v>
      </c>
      <c r="N20" s="338" t="n">
        <v>6168.418</v>
      </c>
    </row>
    <row r="21" customFormat="false" ht="13.5" hidden="false" customHeight="false" outlineLevel="0" collapsed="false">
      <c r="A21" s="323" t="s">
        <v>448</v>
      </c>
      <c r="B21" s="323"/>
      <c r="C21" s="43" t="n">
        <v>198.736</v>
      </c>
      <c r="D21" s="43" t="n">
        <v>213</v>
      </c>
      <c r="E21" s="43" t="n">
        <v>117.187</v>
      </c>
      <c r="F21" s="43" t="n">
        <v>77.891</v>
      </c>
      <c r="G21" s="43" t="n">
        <v>173.173</v>
      </c>
      <c r="H21" s="46" t="n">
        <f aca="false">G21+E21-F21</f>
        <v>212.469</v>
      </c>
      <c r="I21" s="46" t="n">
        <v>208.671</v>
      </c>
      <c r="J21" s="46" t="n">
        <f aca="false">J20*$C$46</f>
        <v>236.15388</v>
      </c>
      <c r="K21" s="46" t="n">
        <f aca="false">K20*$C$46</f>
        <v>243.380160000001</v>
      </c>
      <c r="L21" s="322"/>
      <c r="M21" s="323" t="s">
        <v>449</v>
      </c>
      <c r="N21" s="335" t="n">
        <v>266.981</v>
      </c>
    </row>
    <row r="22" customFormat="false" ht="15.75" hidden="false" customHeight="false" outlineLevel="0" collapsed="false">
      <c r="A22" s="323" t="s">
        <v>450</v>
      </c>
      <c r="B22" s="323"/>
      <c r="C22" s="333" t="n">
        <v>23.18</v>
      </c>
      <c r="D22" s="333" t="n">
        <v>12.569</v>
      </c>
      <c r="E22" s="333" t="n">
        <v>6.517</v>
      </c>
      <c r="F22" s="333" t="n">
        <v>5.153</v>
      </c>
      <c r="G22" s="333" t="n">
        <v>4.093</v>
      </c>
      <c r="H22" s="38" t="n">
        <f aca="false">G22+E22-F22</f>
        <v>5.457</v>
      </c>
      <c r="I22" s="38" t="n">
        <f aca="false">H22</f>
        <v>5.457</v>
      </c>
      <c r="J22" s="38" t="n">
        <f aca="false">I22</f>
        <v>5.457</v>
      </c>
      <c r="K22" s="38" t="n">
        <f aca="false">J22</f>
        <v>5.457</v>
      </c>
      <c r="M22" s="323" t="s">
        <v>451</v>
      </c>
      <c r="N22" s="336" t="n">
        <v>6373.293</v>
      </c>
    </row>
    <row r="23" customFormat="false" ht="12.75" hidden="false" customHeight="false" outlineLevel="0" collapsed="false">
      <c r="A23" s="325" t="s">
        <v>452</v>
      </c>
      <c r="B23" s="325"/>
      <c r="C23" s="331" t="n">
        <f aca="false">C20-C21-C22</f>
        <v>334.797</v>
      </c>
      <c r="D23" s="331" t="n">
        <f aca="false">D20-D21-D22</f>
        <v>362.638</v>
      </c>
      <c r="E23" s="331" t="n">
        <f aca="false">E20-E21-E22</f>
        <v>260.968</v>
      </c>
      <c r="F23" s="331" t="n">
        <f aca="false">F20-F21-F22</f>
        <v>189.569</v>
      </c>
      <c r="G23" s="331" t="n">
        <f aca="false">G20-G21-G22</f>
        <v>307.866</v>
      </c>
      <c r="H23" s="331" t="n">
        <f aca="false">H20-H21-H22</f>
        <v>379.265</v>
      </c>
      <c r="I23" s="331" t="n">
        <v>403.641</v>
      </c>
      <c r="J23" s="331" t="n">
        <f aca="false">J20-J21-J22</f>
        <v>414.37212</v>
      </c>
      <c r="K23" s="331" t="n">
        <f aca="false">K20-K21-K22</f>
        <v>427.218840000001</v>
      </c>
      <c r="M23" s="323" t="s">
        <v>453</v>
      </c>
      <c r="N23" s="330" t="s">
        <v>132</v>
      </c>
    </row>
    <row r="24" customFormat="false" ht="15" hidden="false" customHeight="false" outlineLevel="0" collapsed="false">
      <c r="A24" s="323" t="s">
        <v>454</v>
      </c>
      <c r="B24" s="323"/>
      <c r="C24" s="333" t="n">
        <v>0</v>
      </c>
      <c r="D24" s="333" t="n">
        <v>-109</v>
      </c>
      <c r="E24" s="333" t="n">
        <v>0</v>
      </c>
      <c r="F24" s="333" t="n">
        <v>0</v>
      </c>
      <c r="G24" s="333" t="n">
        <v>0</v>
      </c>
      <c r="H24" s="333" t="n">
        <v>0</v>
      </c>
      <c r="I24" s="333" t="n">
        <v>0</v>
      </c>
      <c r="J24" s="333" t="n">
        <v>0</v>
      </c>
      <c r="K24" s="333" t="n">
        <v>0</v>
      </c>
      <c r="M24" s="323" t="s">
        <v>455</v>
      </c>
      <c r="N24" s="332" t="n">
        <v>1128.957</v>
      </c>
    </row>
    <row r="25" customFormat="false" ht="12.75" hidden="false" customHeight="false" outlineLevel="0" collapsed="false">
      <c r="A25" s="325" t="s">
        <v>67</v>
      </c>
      <c r="B25" s="325"/>
      <c r="C25" s="331" t="n">
        <f aca="false">C23+C24</f>
        <v>334.797</v>
      </c>
      <c r="D25" s="331" t="n">
        <f aca="false">D23+D24</f>
        <v>253.638</v>
      </c>
      <c r="E25" s="331" t="n">
        <f aca="false">E23+E24</f>
        <v>260.968</v>
      </c>
      <c r="F25" s="331" t="n">
        <f aca="false">F23+F24</f>
        <v>189.569</v>
      </c>
      <c r="G25" s="331" t="n">
        <f aca="false">G23+G24</f>
        <v>307.866</v>
      </c>
      <c r="H25" s="331" t="n">
        <f aca="false">H23+H24</f>
        <v>379.265</v>
      </c>
      <c r="I25" s="331" t="n">
        <f aca="false">I23+I24</f>
        <v>403.641</v>
      </c>
      <c r="J25" s="331" t="n">
        <f aca="false">J23+J24</f>
        <v>414.37212</v>
      </c>
      <c r="K25" s="331" t="n">
        <f aca="false">K23+K24</f>
        <v>427.218840000001</v>
      </c>
      <c r="M25" s="323" t="s">
        <v>456</v>
      </c>
      <c r="N25" s="332" t="n">
        <v>309.578</v>
      </c>
    </row>
    <row r="26" customFormat="false" ht="12.75" hidden="false" customHeight="false" outlineLevel="0" collapsed="false">
      <c r="A26" s="325"/>
      <c r="B26" s="325"/>
      <c r="C26" s="322"/>
      <c r="D26" s="322"/>
      <c r="E26" s="322"/>
      <c r="F26" s="322"/>
      <c r="G26" s="322"/>
      <c r="H26" s="322"/>
      <c r="M26" s="323" t="s">
        <v>433</v>
      </c>
      <c r="N26" s="332" t="n">
        <v>21.507</v>
      </c>
    </row>
    <row r="27" customFormat="false" ht="13.5" hidden="false" customHeight="false" outlineLevel="0" collapsed="false">
      <c r="A27" s="325" t="s">
        <v>457</v>
      </c>
      <c r="B27" s="325"/>
      <c r="C27" s="339"/>
      <c r="D27" s="339"/>
      <c r="E27" s="340"/>
      <c r="F27" s="340"/>
      <c r="G27" s="340"/>
      <c r="H27" s="322"/>
      <c r="M27" s="323" t="s">
        <v>458</v>
      </c>
      <c r="N27" s="335" t="n">
        <v>460.227</v>
      </c>
    </row>
    <row r="28" customFormat="false" ht="13.5" hidden="false" customHeight="false" outlineLevel="0" collapsed="false">
      <c r="A28" s="341" t="s">
        <v>459</v>
      </c>
      <c r="B28" s="341"/>
      <c r="C28" s="342" t="n">
        <f aca="false">C23</f>
        <v>334.797</v>
      </c>
      <c r="D28" s="342" t="n">
        <f aca="false">D23</f>
        <v>362.638</v>
      </c>
      <c r="E28" s="342" t="n">
        <f aca="false">E23</f>
        <v>260.968</v>
      </c>
      <c r="F28" s="342" t="n">
        <f aca="false">F23</f>
        <v>189.569</v>
      </c>
      <c r="G28" s="342" t="n">
        <f aca="false">G23</f>
        <v>307.866</v>
      </c>
      <c r="H28" s="342" t="n">
        <f aca="false">H23</f>
        <v>379.265</v>
      </c>
      <c r="I28" s="342" t="n">
        <f aca="false">I23</f>
        <v>403.641</v>
      </c>
      <c r="J28" s="342" t="n">
        <f aca="false">J23</f>
        <v>414.37212</v>
      </c>
      <c r="K28" s="342" t="n">
        <f aca="false">K23</f>
        <v>427.218840000001</v>
      </c>
      <c r="N28" s="336" t="n">
        <v>1920.269</v>
      </c>
    </row>
    <row r="29" customFormat="false" ht="12.75" hidden="false" customHeight="false" outlineLevel="0" collapsed="false">
      <c r="A29" s="341" t="s">
        <v>460</v>
      </c>
      <c r="B29" s="341"/>
      <c r="C29" s="343" t="n">
        <v>0</v>
      </c>
      <c r="D29" s="343" t="n">
        <v>0</v>
      </c>
      <c r="E29" s="343" t="n">
        <v>-50</v>
      </c>
      <c r="F29" s="343" t="n">
        <v>0</v>
      </c>
      <c r="G29" s="343" t="n">
        <v>0</v>
      </c>
      <c r="H29" s="46" t="n">
        <v>0</v>
      </c>
      <c r="I29" s="46" t="n">
        <v>0</v>
      </c>
      <c r="J29" s="46" t="n">
        <v>0</v>
      </c>
      <c r="K29" s="46" t="n">
        <v>0</v>
      </c>
      <c r="N29" s="332" t="n">
        <v>9534.487</v>
      </c>
    </row>
    <row r="30" customFormat="false" ht="15" hidden="false" customHeight="false" outlineLevel="0" collapsed="false">
      <c r="A30" s="341" t="s">
        <v>461</v>
      </c>
      <c r="B30" s="341"/>
      <c r="C30" s="38" t="n">
        <v>18</v>
      </c>
      <c r="D30" s="38" t="n">
        <v>0</v>
      </c>
      <c r="E30" s="38" t="n">
        <v>0</v>
      </c>
      <c r="F30" s="38" t="n">
        <v>0</v>
      </c>
      <c r="G30" s="38" t="n">
        <v>0</v>
      </c>
      <c r="H30" s="38" t="n">
        <v>0</v>
      </c>
      <c r="I30" s="38" t="n">
        <f aca="false">+I24</f>
        <v>0</v>
      </c>
      <c r="J30" s="38" t="n">
        <v>0</v>
      </c>
      <c r="K30" s="38" t="n">
        <v>0</v>
      </c>
      <c r="L30" s="344"/>
      <c r="M30" s="323" t="s">
        <v>462</v>
      </c>
      <c r="N30" s="330" t="s">
        <v>132</v>
      </c>
    </row>
    <row r="31" customFormat="false" ht="12.75" hidden="false" customHeight="false" outlineLevel="0" collapsed="false">
      <c r="A31" s="345" t="s">
        <v>463</v>
      </c>
      <c r="B31" s="345"/>
      <c r="C31" s="342" t="n">
        <f aca="false">C28-C29-C30</f>
        <v>316.797</v>
      </c>
      <c r="D31" s="342" t="n">
        <f aca="false">D28-D29-D30</f>
        <v>362.638</v>
      </c>
      <c r="E31" s="342" t="n">
        <f aca="false">E28-E29-E30</f>
        <v>310.968</v>
      </c>
      <c r="F31" s="342" t="n">
        <f aca="false">F28-F29-F30</f>
        <v>189.569</v>
      </c>
      <c r="G31" s="342" t="n">
        <f aca="false">G28-G29-G30</f>
        <v>307.866</v>
      </c>
      <c r="H31" s="342" t="n">
        <f aca="false">H28-H29-H30</f>
        <v>379.265</v>
      </c>
      <c r="I31" s="342" t="n">
        <f aca="false">I28+I29+I30</f>
        <v>403.641</v>
      </c>
      <c r="J31" s="342" t="n">
        <f aca="false">J28-J29-J30</f>
        <v>414.37212</v>
      </c>
      <c r="K31" s="342" t="n">
        <f aca="false">K28-K29-K30</f>
        <v>427.218840000001</v>
      </c>
      <c r="M31" s="323" t="s">
        <v>464</v>
      </c>
      <c r="N31" s="332" t="n">
        <v>935.43</v>
      </c>
    </row>
    <row r="32" customFormat="false" ht="12.75" hidden="false" customHeight="false" outlineLevel="0" collapsed="false">
      <c r="A32" s="323" t="s">
        <v>465</v>
      </c>
      <c r="B32" s="323"/>
      <c r="C32" s="339" t="n">
        <f aca="false">C31/C38</f>
        <v>2.00913887796649</v>
      </c>
      <c r="D32" s="339" t="n">
        <f aca="false">D31/D38</f>
        <v>2.29986428036885</v>
      </c>
      <c r="E32" s="322" t="n">
        <f aca="false">E31/E38</f>
        <v>1.96519167330224</v>
      </c>
      <c r="F32" s="322" t="n">
        <f aca="false">F31/F38</f>
        <v>1.19896907216495</v>
      </c>
      <c r="G32" s="322" t="n">
        <f aca="false">G31/G38</f>
        <v>1.93816574752588</v>
      </c>
      <c r="H32" s="322" t="n">
        <f aca="false">H31/H38</f>
        <v>2.38765707234771</v>
      </c>
      <c r="I32" s="322" t="n">
        <f aca="false">I31/I38</f>
        <v>2.54111581173982</v>
      </c>
      <c r="J32" s="322" t="n">
        <f aca="false">J31/J38</f>
        <v>2.60867341542646</v>
      </c>
      <c r="K32" s="322" t="n">
        <f aca="false">K31/K38</f>
        <v>2.68954974692151</v>
      </c>
      <c r="M32" s="323" t="s">
        <v>466</v>
      </c>
      <c r="N32" s="332" t="n">
        <v>248.441</v>
      </c>
    </row>
    <row r="33" customFormat="false" ht="12.75" hidden="false" customHeight="false" outlineLevel="0" collapsed="false">
      <c r="A33" s="323" t="s">
        <v>467</v>
      </c>
      <c r="B33" s="323"/>
      <c r="C33" s="339" t="n">
        <f aca="false">C31/C41</f>
        <v>1.99647714238899</v>
      </c>
      <c r="D33" s="339" t="n">
        <f aca="false">D31/D41</f>
        <v>2.28537037270447</v>
      </c>
      <c r="E33" s="339" t="n">
        <f aca="false">E31/E41</f>
        <v>1.95285045026941</v>
      </c>
      <c r="F33" s="339" t="n">
        <f aca="false">F31/F41</f>
        <v>1.19372937709378</v>
      </c>
      <c r="G33" s="339" t="n">
        <f aca="false">G31/G41</f>
        <v>1.93346731143629</v>
      </c>
      <c r="H33" s="339" t="n">
        <f aca="false">H31/H41</f>
        <v>2.38162967986637</v>
      </c>
      <c r="I33" s="339" t="n">
        <f aca="false">I31/I41</f>
        <v>2.53470102859726</v>
      </c>
      <c r="J33" s="339" t="n">
        <f aca="false">J31/J41</f>
        <v>2.60208809012471</v>
      </c>
      <c r="K33" s="339" t="n">
        <f aca="false">K31/K41</f>
        <v>2.68276025771449</v>
      </c>
      <c r="M33" s="323" t="s">
        <v>468</v>
      </c>
      <c r="N33" s="332" t="n">
        <v>37.813</v>
      </c>
    </row>
    <row r="34" customFormat="false" ht="12.75" hidden="false" customHeight="false" outlineLevel="0" collapsed="false">
      <c r="A34" s="323"/>
      <c r="B34" s="323"/>
      <c r="C34" s="339"/>
      <c r="D34" s="339"/>
      <c r="E34" s="322"/>
      <c r="F34" s="322"/>
      <c r="G34" s="322"/>
      <c r="H34" s="322"/>
      <c r="M34" s="323" t="s">
        <v>469</v>
      </c>
      <c r="N34" s="332" t="n">
        <v>363.78</v>
      </c>
    </row>
    <row r="35" customFormat="false" ht="12.75" hidden="false" customHeight="false" outlineLevel="0" collapsed="false">
      <c r="A35" s="323" t="s">
        <v>470</v>
      </c>
      <c r="B35" s="323"/>
      <c r="C35" s="339" t="n">
        <v>1.74</v>
      </c>
      <c r="D35" s="339" t="n">
        <v>1.8</v>
      </c>
      <c r="E35" s="322" t="n">
        <v>1.8</v>
      </c>
      <c r="F35" s="322" t="n">
        <v>1.35</v>
      </c>
      <c r="G35" s="322" t="n">
        <v>1.35</v>
      </c>
      <c r="H35" s="322" t="n">
        <v>1.35</v>
      </c>
      <c r="I35" s="322" t="n">
        <v>1.35</v>
      </c>
      <c r="J35" s="322" t="n">
        <v>1.35</v>
      </c>
      <c r="K35" s="322" t="n">
        <v>1.35</v>
      </c>
      <c r="M35" s="323" t="s">
        <v>471</v>
      </c>
      <c r="N35" s="332" t="n">
        <v>31.822</v>
      </c>
    </row>
    <row r="36" customFormat="false" ht="12.75" hidden="false" customHeight="false" outlineLevel="0" collapsed="false">
      <c r="A36" s="323"/>
      <c r="B36" s="323"/>
      <c r="C36" s="339"/>
      <c r="D36" s="339"/>
      <c r="E36" s="322"/>
      <c r="F36" s="322"/>
      <c r="G36" s="322"/>
      <c r="H36" s="322"/>
      <c r="M36" s="323" t="s">
        <v>472</v>
      </c>
      <c r="N36" s="332" t="n">
        <v>123.885</v>
      </c>
    </row>
    <row r="37" customFormat="false" ht="13.5" hidden="false" customHeight="false" outlineLevel="0" collapsed="false">
      <c r="A37" s="325" t="s">
        <v>473</v>
      </c>
      <c r="B37" s="325"/>
      <c r="C37" s="339"/>
      <c r="D37" s="339"/>
      <c r="E37" s="340"/>
      <c r="F37" s="340"/>
      <c r="G37" s="340"/>
      <c r="H37" s="322"/>
      <c r="M37" s="323" t="s">
        <v>427</v>
      </c>
      <c r="N37" s="335" t="n">
        <v>81.854</v>
      </c>
    </row>
    <row r="38" customFormat="false" ht="13.5" hidden="false" customHeight="false" outlineLevel="0" collapsed="false">
      <c r="A38" s="323" t="s">
        <v>465</v>
      </c>
      <c r="B38" s="323"/>
      <c r="C38" s="339" t="n">
        <v>157.678</v>
      </c>
      <c r="D38" s="339" t="n">
        <v>157.678</v>
      </c>
      <c r="E38" s="322" t="n">
        <v>158.238</v>
      </c>
      <c r="F38" s="346" t="n">
        <v>158.11</v>
      </c>
      <c r="G38" s="346" t="n">
        <v>158.844</v>
      </c>
      <c r="H38" s="322" t="n">
        <v>158.844</v>
      </c>
      <c r="I38" s="322" t="n">
        <f aca="false">H38</f>
        <v>158.844</v>
      </c>
      <c r="J38" s="322" t="n">
        <f aca="false">I38</f>
        <v>158.844</v>
      </c>
      <c r="K38" s="322" t="n">
        <f aca="false">J38</f>
        <v>158.844</v>
      </c>
      <c r="N38" s="336" t="n">
        <v>1823.025</v>
      </c>
    </row>
    <row r="39" customFormat="false" ht="12.75" hidden="false" customHeight="false" outlineLevel="0" collapsed="false">
      <c r="A39" s="323" t="s">
        <v>474</v>
      </c>
      <c r="B39" s="323"/>
      <c r="C39" s="339" t="n">
        <v>1</v>
      </c>
      <c r="D39" s="339" t="n">
        <v>1</v>
      </c>
      <c r="E39" s="322" t="n">
        <v>1</v>
      </c>
      <c r="F39" s="322" t="n">
        <v>0.694</v>
      </c>
      <c r="G39" s="322" t="n">
        <v>0.386</v>
      </c>
      <c r="H39" s="339" t="n">
        <v>0.415</v>
      </c>
      <c r="I39" s="339" t="n">
        <f aca="false">H39</f>
        <v>0.415</v>
      </c>
      <c r="J39" s="339" t="n">
        <f aca="false">I39</f>
        <v>0.415</v>
      </c>
      <c r="K39" s="339" t="n">
        <f aca="false">J39</f>
        <v>0.415</v>
      </c>
      <c r="L39" s="323"/>
      <c r="M39" s="323" t="s">
        <v>475</v>
      </c>
      <c r="N39" s="330" t="s">
        <v>132</v>
      </c>
    </row>
    <row r="40" customFormat="false" ht="15" hidden="false" customHeight="false" outlineLevel="0" collapsed="false">
      <c r="A40" s="323" t="s">
        <v>476</v>
      </c>
      <c r="B40" s="323"/>
      <c r="C40" s="347" t="n">
        <v>0</v>
      </c>
      <c r="D40" s="347" t="n">
        <v>0</v>
      </c>
      <c r="E40" s="348" t="n">
        <v>0</v>
      </c>
      <c r="F40" s="348" t="n">
        <v>0</v>
      </c>
      <c r="G40" s="348" t="n">
        <v>0</v>
      </c>
      <c r="H40" s="347" t="n">
        <v>0.019</v>
      </c>
      <c r="I40" s="347" t="n">
        <f aca="false">H40</f>
        <v>0.019</v>
      </c>
      <c r="J40" s="347" t="n">
        <f aca="false">I40</f>
        <v>0.019</v>
      </c>
      <c r="K40" s="347" t="n">
        <f aca="false">J40</f>
        <v>0.019</v>
      </c>
      <c r="L40" s="323"/>
      <c r="M40" s="323" t="s">
        <v>477</v>
      </c>
      <c r="N40" s="332" t="n">
        <v>2723.483</v>
      </c>
    </row>
    <row r="41" customFormat="false" ht="12.75" hidden="false" customHeight="false" outlineLevel="0" collapsed="false">
      <c r="A41" s="323" t="s">
        <v>467</v>
      </c>
      <c r="B41" s="323"/>
      <c r="C41" s="339" t="n">
        <f aca="false">SUM(C38:C40)</f>
        <v>158.678</v>
      </c>
      <c r="D41" s="339" t="n">
        <f aca="false">SUM(D38:D40)</f>
        <v>158.678</v>
      </c>
      <c r="E41" s="339" t="n">
        <f aca="false">SUM(E38:E40)</f>
        <v>159.238</v>
      </c>
      <c r="F41" s="339" t="n">
        <f aca="false">SUM(F38:F40)</f>
        <v>158.804</v>
      </c>
      <c r="G41" s="339" t="n">
        <f aca="false">SUM(G38:G40)</f>
        <v>159.23</v>
      </c>
      <c r="H41" s="339" t="n">
        <v>159.246</v>
      </c>
      <c r="I41" s="339" t="n">
        <f aca="false">H41</f>
        <v>159.246</v>
      </c>
      <c r="J41" s="339" t="n">
        <f aca="false">I41</f>
        <v>159.246</v>
      </c>
      <c r="K41" s="339" t="n">
        <f aca="false">J41</f>
        <v>159.246</v>
      </c>
      <c r="L41" s="323"/>
      <c r="M41" s="323" t="s">
        <v>478</v>
      </c>
      <c r="N41" s="332" t="n">
        <v>1141.312</v>
      </c>
    </row>
    <row r="42" customFormat="false" ht="12.75" hidden="false" customHeight="false" outlineLevel="0" collapsed="false">
      <c r="A42" s="323"/>
      <c r="B42" s="323"/>
      <c r="C42" s="339"/>
      <c r="D42" s="339"/>
      <c r="E42" s="322"/>
      <c r="F42" s="322"/>
      <c r="G42" s="322"/>
      <c r="H42" s="339"/>
      <c r="I42" s="339"/>
      <c r="J42" s="339"/>
      <c r="K42" s="339"/>
      <c r="L42" s="323"/>
      <c r="M42" s="323" t="s">
        <v>479</v>
      </c>
      <c r="N42" s="332" t="n">
        <v>149.629</v>
      </c>
    </row>
    <row r="43" customFormat="false" ht="15" hidden="false" customHeight="false" outlineLevel="0" collapsed="false">
      <c r="A43" s="323" t="s">
        <v>480</v>
      </c>
      <c r="B43" s="323"/>
      <c r="C43" s="348" t="n">
        <v>0</v>
      </c>
      <c r="D43" s="348" t="n">
        <v>0</v>
      </c>
      <c r="E43" s="348" t="n">
        <v>-80</v>
      </c>
      <c r="F43" s="348" t="n">
        <v>-80</v>
      </c>
      <c r="G43" s="348" t="n">
        <v>-80</v>
      </c>
      <c r="H43" s="348" t="n">
        <v>-80</v>
      </c>
      <c r="I43" s="348" t="n">
        <v>0</v>
      </c>
      <c r="J43" s="348" t="n">
        <v>0</v>
      </c>
      <c r="K43" s="348" t="n">
        <v>0</v>
      </c>
      <c r="L43" s="323"/>
      <c r="M43" s="323" t="s">
        <v>481</v>
      </c>
      <c r="N43" s="332" t="n">
        <v>346.994</v>
      </c>
    </row>
    <row r="44" customFormat="false" ht="12.75" hidden="false" customHeight="false" outlineLevel="0" collapsed="false">
      <c r="A44" s="28" t="s">
        <v>61</v>
      </c>
      <c r="B44" s="28"/>
      <c r="C44" s="55" t="n">
        <f aca="false">C8-C10-C11-C12-C14-C43-C24</f>
        <v>1058.39</v>
      </c>
      <c r="D44" s="55" t="n">
        <f aca="false">D8-D10-D11-D12-D14-D43-D24</f>
        <v>1181.59</v>
      </c>
      <c r="E44" s="55" t="n">
        <f aca="false">E8-E10-E11-E12-E14-E43-E24</f>
        <v>971.944</v>
      </c>
      <c r="F44" s="55" t="n">
        <f aca="false">F8-F10-F11-F12-F14-F43-F24</f>
        <v>755.252</v>
      </c>
      <c r="G44" s="55" t="n">
        <f aca="false">G8-G10-G11-G12-G14-G43-G24</f>
        <v>852.118</v>
      </c>
      <c r="H44" s="55" t="n">
        <f aca="false">H8-H10-H11-H12-H14-H43-H24</f>
        <v>1068.81</v>
      </c>
      <c r="I44" s="55" t="n">
        <f aca="false">I8-I10-I11-I12-I14-I43-I24</f>
        <v>1047.059</v>
      </c>
      <c r="J44" s="55" t="n">
        <f aca="false">J8-J10-J11-J12-J14-J43-J24</f>
        <v>1226.863</v>
      </c>
      <c r="K44" s="55" t="n">
        <f aca="false">K8-K10-K11-K12-K14-K43-K24</f>
        <v>1264.88</v>
      </c>
      <c r="L44" s="323"/>
      <c r="M44" s="323" t="s">
        <v>472</v>
      </c>
      <c r="N44" s="332" t="n">
        <v>130.188</v>
      </c>
    </row>
    <row r="45" customFormat="false" ht="13.5" hidden="false" customHeight="false" outlineLevel="0" collapsed="false">
      <c r="E45" s="0" t="s">
        <v>482</v>
      </c>
      <c r="I45" s="339"/>
      <c r="J45" s="339"/>
      <c r="K45" s="339"/>
      <c r="L45" s="323"/>
      <c r="M45" s="323" t="s">
        <v>427</v>
      </c>
      <c r="N45" s="335" t="n">
        <v>488.892</v>
      </c>
    </row>
    <row r="46" customFormat="false" ht="13.5" hidden="false" customHeight="false" outlineLevel="0" collapsed="false">
      <c r="A46" s="0" t="s">
        <v>483</v>
      </c>
      <c r="C46" s="54" t="n">
        <v>0.36</v>
      </c>
      <c r="H46" s="323"/>
      <c r="I46" s="339"/>
      <c r="J46" s="339"/>
      <c r="K46" s="339"/>
      <c r="L46" s="323"/>
      <c r="N46" s="336" t="n">
        <v>4980.498</v>
      </c>
    </row>
    <row r="47" customFormat="false" ht="13.5" hidden="false" customHeight="false" outlineLevel="0" collapsed="false">
      <c r="A47" s="0" t="s">
        <v>484</v>
      </c>
      <c r="F47" s="323"/>
      <c r="G47" s="323"/>
      <c r="H47" s="323"/>
      <c r="I47" s="339"/>
      <c r="J47" s="339"/>
      <c r="K47" s="339"/>
      <c r="L47" s="323"/>
      <c r="M47" s="323" t="s">
        <v>485</v>
      </c>
      <c r="N47" s="335" t="n">
        <v>6803.523</v>
      </c>
    </row>
    <row r="48" customFormat="false" ht="13.5" hidden="false" customHeight="false" outlineLevel="0" collapsed="false">
      <c r="A48" s="0" t="s">
        <v>486</v>
      </c>
      <c r="F48" s="323"/>
      <c r="G48" s="323"/>
      <c r="H48" s="323"/>
      <c r="I48" s="339"/>
      <c r="J48" s="339"/>
      <c r="K48" s="339"/>
      <c r="L48" s="323"/>
      <c r="M48" s="323" t="s">
        <v>487</v>
      </c>
      <c r="N48" s="349" t="s">
        <v>132</v>
      </c>
    </row>
    <row r="49" customFormat="false" ht="12.75" hidden="false" customHeight="false" outlineLevel="0" collapsed="false">
      <c r="F49" s="323"/>
      <c r="G49" s="323"/>
      <c r="H49" s="323"/>
      <c r="I49" s="339"/>
      <c r="J49" s="339"/>
      <c r="K49" s="339"/>
      <c r="L49" s="323"/>
      <c r="M49" s="323" t="s">
        <v>488</v>
      </c>
      <c r="N49" s="330" t="s">
        <v>132</v>
      </c>
    </row>
    <row r="50" customFormat="false" ht="12.75" hidden="false" customHeight="false" outlineLevel="0" collapsed="false">
      <c r="A50" s="323"/>
      <c r="B50" s="28" t="n">
        <v>1</v>
      </c>
      <c r="C50" s="28"/>
      <c r="D50" s="28"/>
      <c r="F50" s="323"/>
      <c r="G50" s="323"/>
      <c r="H50" s="323"/>
      <c r="I50" s="339"/>
      <c r="J50" s="339"/>
      <c r="K50" s="339"/>
      <c r="L50" s="323"/>
      <c r="M50" s="323" t="s">
        <v>489</v>
      </c>
      <c r="N50" s="332" t="n">
        <v>92.597</v>
      </c>
    </row>
    <row r="51" customFormat="false" ht="12.75" hidden="false" customHeight="false" outlineLevel="0" collapsed="false">
      <c r="A51" s="323"/>
      <c r="B51" s="323"/>
      <c r="C51" s="323"/>
      <c r="D51" s="323"/>
      <c r="E51" s="323"/>
      <c r="F51" s="323"/>
      <c r="G51" s="323"/>
      <c r="H51" s="323"/>
      <c r="I51" s="339"/>
      <c r="J51" s="339"/>
      <c r="K51" s="339"/>
      <c r="L51" s="323"/>
      <c r="M51" s="323" t="s">
        <v>490</v>
      </c>
      <c r="N51" s="330" t="s">
        <v>132</v>
      </c>
    </row>
    <row r="52" customFormat="false" ht="38.25" hidden="false" customHeight="false" outlineLevel="0" collapsed="false">
      <c r="A52" s="323"/>
      <c r="B52" s="323"/>
      <c r="C52" s="323"/>
      <c r="D52" s="323"/>
      <c r="E52" s="323"/>
      <c r="F52" s="323"/>
      <c r="G52" s="323"/>
      <c r="H52" s="323"/>
      <c r="I52" s="339"/>
      <c r="J52" s="339"/>
      <c r="K52" s="339"/>
      <c r="L52" s="323"/>
      <c r="M52" s="323" t="s">
        <v>491</v>
      </c>
      <c r="N52" s="332" t="n">
        <v>1.589</v>
      </c>
    </row>
    <row r="53" customFormat="false" ht="12.75" hidden="false" customHeight="false" outlineLevel="0" collapsed="false">
      <c r="A53" s="323"/>
      <c r="B53" s="323"/>
      <c r="C53" s="323"/>
      <c r="D53" s="323"/>
      <c r="E53" s="323"/>
      <c r="F53" s="323"/>
      <c r="G53" s="323"/>
      <c r="H53" s="323"/>
      <c r="I53" s="339"/>
      <c r="J53" s="339"/>
      <c r="K53" s="339"/>
      <c r="L53" s="323"/>
      <c r="M53" s="323" t="s">
        <v>492</v>
      </c>
      <c r="N53" s="332" t="n">
        <v>1605.674</v>
      </c>
    </row>
    <row r="54" customFormat="false" ht="12.75" hidden="false" customHeight="false" outlineLevel="0" collapsed="false">
      <c r="A54" s="323" t="s">
        <v>493</v>
      </c>
      <c r="B54" s="323"/>
      <c r="C54" s="350" t="n">
        <v>36600</v>
      </c>
      <c r="D54" s="351" t="n">
        <v>21.4375</v>
      </c>
      <c r="E54" s="323"/>
      <c r="F54" s="323"/>
      <c r="G54" s="323"/>
      <c r="H54" s="323"/>
      <c r="I54" s="339"/>
      <c r="J54" s="339"/>
      <c r="K54" s="339"/>
      <c r="L54" s="323"/>
      <c r="M54" s="323" t="s">
        <v>494</v>
      </c>
      <c r="N54" s="332" t="n">
        <v>1038.66</v>
      </c>
    </row>
    <row r="55" customFormat="false" ht="13.5" hidden="false" customHeight="false" outlineLevel="0" collapsed="false">
      <c r="A55" s="323" t="s">
        <v>495</v>
      </c>
      <c r="B55" s="323"/>
      <c r="C55" s="350" t="n">
        <v>36600</v>
      </c>
      <c r="D55" s="351" t="n">
        <v>68.4375</v>
      </c>
      <c r="E55" s="323"/>
      <c r="F55" s="323"/>
      <c r="G55" s="323"/>
      <c r="H55" s="323"/>
      <c r="I55" s="339"/>
      <c r="J55" s="339"/>
      <c r="K55" s="339"/>
      <c r="L55" s="323"/>
      <c r="M55" s="323" t="s">
        <v>496</v>
      </c>
      <c r="N55" s="335" t="n">
        <v>-7.556</v>
      </c>
    </row>
    <row r="56" customFormat="false" ht="13.5" hidden="false" customHeight="false" outlineLevel="0" collapsed="false">
      <c r="A56" s="323"/>
      <c r="B56" s="323"/>
      <c r="C56" s="323"/>
      <c r="D56" s="323"/>
      <c r="E56" s="323"/>
      <c r="F56" s="323"/>
      <c r="G56" s="323"/>
      <c r="H56" s="323"/>
      <c r="I56" s="339"/>
      <c r="J56" s="339"/>
      <c r="K56" s="339"/>
      <c r="L56" s="323"/>
      <c r="M56" s="323" t="s">
        <v>497</v>
      </c>
      <c r="N56" s="336" t="n">
        <v>2638.367</v>
      </c>
    </row>
    <row r="57" customFormat="false" ht="12.75" hidden="false" customHeight="false" outlineLevel="0" collapsed="false">
      <c r="A57" s="28" t="s">
        <v>498</v>
      </c>
      <c r="B57" s="323"/>
      <c r="C57" s="323"/>
      <c r="D57" s="323"/>
      <c r="E57" s="323"/>
      <c r="F57" s="323"/>
      <c r="G57" s="323"/>
      <c r="H57" s="323"/>
      <c r="I57" s="339"/>
      <c r="J57" s="339"/>
      <c r="K57" s="339"/>
      <c r="L57" s="323"/>
      <c r="N57" s="332" t="n">
        <v>9534.487</v>
      </c>
    </row>
    <row r="58" customFormat="false" ht="12.75" hidden="false" customHeight="false" outlineLevel="0" collapsed="false">
      <c r="A58" s="323"/>
      <c r="B58" s="323"/>
      <c r="C58" s="323"/>
      <c r="D58" s="323" t="n">
        <v>1</v>
      </c>
      <c r="E58" s="323" t="n">
        <v>2</v>
      </c>
      <c r="F58" s="323"/>
      <c r="G58" s="323"/>
      <c r="H58" s="323"/>
      <c r="I58" s="339"/>
      <c r="J58" s="339"/>
      <c r="K58" s="339"/>
      <c r="L58" s="323"/>
      <c r="N58" s="352"/>
    </row>
    <row r="59" customFormat="false" ht="25.5" hidden="false" customHeight="false" outlineLevel="0" collapsed="false">
      <c r="A59" s="323"/>
      <c r="B59" s="323"/>
      <c r="C59" s="323" t="s">
        <v>499</v>
      </c>
      <c r="D59" s="323" t="s">
        <v>112</v>
      </c>
      <c r="E59" s="323" t="s">
        <v>500</v>
      </c>
      <c r="F59" s="323"/>
      <c r="G59" s="323"/>
      <c r="H59" s="325" t="s">
        <v>501</v>
      </c>
      <c r="I59" s="323"/>
      <c r="J59" s="323" t="s">
        <v>294</v>
      </c>
      <c r="K59" s="339" t="s">
        <v>502</v>
      </c>
      <c r="L59" s="323"/>
      <c r="N59" s="352"/>
    </row>
    <row r="60" customFormat="false" ht="12.75" hidden="false" customHeight="false" outlineLevel="0" collapsed="false">
      <c r="A60" s="323" t="s">
        <v>503</v>
      </c>
      <c r="B60" s="323"/>
      <c r="C60" s="353" t="n">
        <f aca="false">+N40</f>
        <v>2723.483</v>
      </c>
      <c r="D60" s="353" t="n">
        <v>1205.83</v>
      </c>
      <c r="E60" s="353" t="n">
        <v>74.549</v>
      </c>
      <c r="F60" s="353"/>
      <c r="G60" s="353"/>
      <c r="H60" s="354" t="n">
        <f aca="false">+D60+E60</f>
        <v>1280.379</v>
      </c>
      <c r="I60" s="353"/>
      <c r="J60" s="353" t="n">
        <v>968.305</v>
      </c>
      <c r="K60" s="339"/>
      <c r="L60" s="323"/>
      <c r="N60" s="352"/>
    </row>
    <row r="61" customFormat="false" ht="12.75" hidden="false" customHeight="false" outlineLevel="0" collapsed="false">
      <c r="A61" s="323" t="s">
        <v>504</v>
      </c>
      <c r="B61" s="323"/>
      <c r="C61" s="355" t="n">
        <f aca="false">+N34</f>
        <v>363.78</v>
      </c>
      <c r="D61" s="353" t="n">
        <v>204</v>
      </c>
      <c r="E61" s="353" t="n">
        <v>0</v>
      </c>
      <c r="F61" s="353"/>
      <c r="G61" s="353"/>
      <c r="H61" s="354" t="n">
        <f aca="false">+D61+E61</f>
        <v>204</v>
      </c>
      <c r="I61" s="353"/>
      <c r="J61" s="353" t="n">
        <v>94.609</v>
      </c>
      <c r="K61" s="339"/>
      <c r="L61" s="323"/>
      <c r="N61" s="352"/>
    </row>
    <row r="62" customFormat="false" ht="12.75" hidden="false" customHeight="false" outlineLevel="0" collapsed="false">
      <c r="A62" s="323" t="s">
        <v>505</v>
      </c>
      <c r="B62" s="323"/>
      <c r="C62" s="355" t="n">
        <v>488</v>
      </c>
      <c r="D62" s="353" t="n">
        <v>23.966</v>
      </c>
      <c r="E62" s="353" t="n">
        <v>3.961</v>
      </c>
      <c r="F62" s="353"/>
      <c r="G62" s="353"/>
      <c r="H62" s="354" t="n">
        <f aca="false">+D62+E62</f>
        <v>27.927</v>
      </c>
      <c r="I62" s="353"/>
      <c r="J62" s="353" t="n">
        <v>339.173</v>
      </c>
      <c r="K62" s="339"/>
      <c r="L62" s="323"/>
      <c r="N62" s="352"/>
    </row>
    <row r="63" customFormat="false" ht="12.75" hidden="false" customHeight="false" outlineLevel="0" collapsed="false">
      <c r="A63" s="323" t="s">
        <v>506</v>
      </c>
      <c r="B63" s="323"/>
      <c r="C63" s="353" t="n">
        <f aca="false">+N35</f>
        <v>31.822</v>
      </c>
      <c r="D63" s="353" t="n">
        <v>0</v>
      </c>
      <c r="E63" s="353" t="n">
        <v>0</v>
      </c>
      <c r="F63" s="353"/>
      <c r="G63" s="353"/>
      <c r="H63" s="354" t="n">
        <f aca="false">+D63+E63</f>
        <v>0</v>
      </c>
      <c r="I63" s="353"/>
      <c r="J63" s="353" t="n">
        <v>31.822</v>
      </c>
      <c r="K63" s="339"/>
      <c r="L63" s="323"/>
      <c r="N63" s="352"/>
    </row>
    <row r="64" customFormat="false" ht="12.75" hidden="false" customHeight="false" outlineLevel="0" collapsed="false">
      <c r="A64" s="323"/>
      <c r="B64" s="323"/>
      <c r="C64" s="355" t="n">
        <f aca="false">SUM(C60:C63)</f>
        <v>3607.085</v>
      </c>
      <c r="D64" s="353" t="n">
        <f aca="false">SUM(D60:D63)</f>
        <v>1433.796</v>
      </c>
      <c r="E64" s="353" t="n">
        <f aca="false">SUM(E60:E63)</f>
        <v>78.51</v>
      </c>
      <c r="F64" s="353"/>
      <c r="G64" s="353"/>
      <c r="H64" s="354" t="n">
        <f aca="false">+D64+E64</f>
        <v>1512.306</v>
      </c>
      <c r="I64" s="353"/>
      <c r="J64" s="353" t="n">
        <f aca="false">SUM(J60:J63)</f>
        <v>1433.909</v>
      </c>
      <c r="K64" s="339"/>
      <c r="L64" s="323"/>
      <c r="N64" s="352"/>
    </row>
    <row r="65" customFormat="false" ht="12.75" hidden="false" customHeight="false" outlineLevel="0" collapsed="false">
      <c r="A65" s="323"/>
      <c r="B65" s="323"/>
      <c r="C65" s="355"/>
      <c r="D65" s="353"/>
      <c r="E65" s="353"/>
      <c r="F65" s="353"/>
      <c r="G65" s="353"/>
      <c r="H65" s="354"/>
      <c r="I65" s="353"/>
      <c r="J65" s="353"/>
      <c r="K65" s="339"/>
      <c r="L65" s="323"/>
      <c r="N65" s="352"/>
    </row>
    <row r="66" customFormat="false" ht="15" hidden="false" customHeight="false" outlineLevel="0" collapsed="false">
      <c r="A66" s="323" t="s">
        <v>507</v>
      </c>
      <c r="B66" s="323"/>
      <c r="C66" s="356" t="n">
        <v>0</v>
      </c>
      <c r="D66" s="353"/>
      <c r="E66" s="353"/>
      <c r="F66" s="353"/>
      <c r="G66" s="353"/>
      <c r="H66" s="354"/>
      <c r="I66" s="353"/>
      <c r="J66" s="353"/>
      <c r="K66" s="339"/>
      <c r="L66" s="323"/>
      <c r="N66" s="352"/>
    </row>
    <row r="67" customFormat="false" ht="12.75" hidden="false" customHeight="false" outlineLevel="0" collapsed="false">
      <c r="A67" s="323" t="s">
        <v>508</v>
      </c>
      <c r="B67" s="323"/>
      <c r="C67" s="353" t="n">
        <f aca="false">C66+C64</f>
        <v>3607.085</v>
      </c>
      <c r="D67" s="353" t="n">
        <f aca="false">D66+D64</f>
        <v>1433.796</v>
      </c>
      <c r="E67" s="353" t="n">
        <f aca="false">E66+E64</f>
        <v>78.51</v>
      </c>
      <c r="F67" s="353"/>
      <c r="G67" s="353"/>
      <c r="H67" s="354" t="n">
        <f aca="false">+D67+E67</f>
        <v>1512.306</v>
      </c>
      <c r="I67" s="353"/>
      <c r="J67" s="353" t="n">
        <f aca="false">J66+J64</f>
        <v>1433.909</v>
      </c>
      <c r="K67" s="339"/>
      <c r="L67" s="323"/>
      <c r="N67" s="352"/>
    </row>
    <row r="68" customFormat="false" ht="12.75" hidden="false" customHeight="false" outlineLevel="0" collapsed="false">
      <c r="A68" s="323" t="s">
        <v>509</v>
      </c>
      <c r="B68" s="323"/>
      <c r="C68" s="353" t="n">
        <f aca="false">+N5</f>
        <v>57.486</v>
      </c>
      <c r="D68" s="353" t="n">
        <v>14.38</v>
      </c>
      <c r="E68" s="353" t="n">
        <v>5.733</v>
      </c>
      <c r="F68" s="353"/>
      <c r="G68" s="353"/>
      <c r="H68" s="354" t="n">
        <f aca="false">+D68+E68</f>
        <v>20.113</v>
      </c>
      <c r="I68" s="353"/>
      <c r="J68" s="353" t="n">
        <v>1.875</v>
      </c>
      <c r="K68" s="339"/>
      <c r="L68" s="323"/>
      <c r="N68" s="352"/>
    </row>
    <row r="69" customFormat="false" ht="12.75" hidden="false" customHeight="false" outlineLevel="0" collapsed="false">
      <c r="A69" s="323" t="s">
        <v>510</v>
      </c>
      <c r="B69" s="323"/>
      <c r="C69" s="353" t="n">
        <f aca="false">+C67-C68</f>
        <v>3549.599</v>
      </c>
      <c r="D69" s="353" t="n">
        <f aca="false">+D67-D68</f>
        <v>1419.416</v>
      </c>
      <c r="E69" s="353" t="n">
        <f aca="false">+E67-E68</f>
        <v>72.777</v>
      </c>
      <c r="F69" s="353"/>
      <c r="G69" s="353"/>
      <c r="H69" s="353" t="n">
        <f aca="false">+H67-H68</f>
        <v>1492.193</v>
      </c>
      <c r="I69" s="353"/>
      <c r="J69" s="353" t="n">
        <f aca="false">+J67-J68</f>
        <v>1432.034</v>
      </c>
      <c r="K69" s="339" t="n">
        <f aca="false">+C69-H69-J69</f>
        <v>625.372000000001</v>
      </c>
      <c r="L69" s="323"/>
      <c r="N69" s="352"/>
    </row>
    <row r="70" customFormat="false" ht="12.75" hidden="false" customHeight="false" outlineLevel="0" collapsed="false">
      <c r="A70" s="323" t="s">
        <v>511</v>
      </c>
      <c r="B70" s="323"/>
      <c r="C70" s="353"/>
      <c r="D70" s="353"/>
      <c r="E70" s="353"/>
      <c r="F70" s="353"/>
      <c r="G70" s="353"/>
      <c r="H70" s="357" t="n">
        <f aca="false">+K69*H69/(H69+J69)</f>
        <v>319.11876909556</v>
      </c>
      <c r="I70" s="353"/>
      <c r="J70" s="357" t="n">
        <f aca="false">K69*J69/(J69+H69)</f>
        <v>306.253230904441</v>
      </c>
      <c r="K70" s="339"/>
      <c r="L70" s="323"/>
      <c r="N70" s="352"/>
    </row>
    <row r="71" customFormat="false" ht="12.75" hidden="false" customHeight="false" outlineLevel="0" collapsed="false">
      <c r="A71" s="323" t="s">
        <v>512</v>
      </c>
      <c r="B71" s="323"/>
      <c r="C71" s="355" t="n">
        <f aca="false">C67-C68</f>
        <v>3549.599</v>
      </c>
      <c r="D71" s="353" t="n">
        <f aca="false">D67-D68</f>
        <v>1419.416</v>
      </c>
      <c r="E71" s="353" t="n">
        <f aca="false">E67-E68</f>
        <v>72.777</v>
      </c>
      <c r="F71" s="353"/>
      <c r="G71" s="353"/>
      <c r="H71" s="354" t="n">
        <f aca="false">+H69+H70</f>
        <v>1811.31176909556</v>
      </c>
      <c r="I71" s="353"/>
      <c r="J71" s="354" t="n">
        <f aca="false">+J69+J70</f>
        <v>1738.28723090444</v>
      </c>
      <c r="K71" s="339"/>
      <c r="L71" s="323"/>
      <c r="N71" s="352"/>
    </row>
    <row r="72" customFormat="false" ht="12.75" hidden="false" customHeight="false" outlineLevel="0" collapsed="false">
      <c r="A72" s="323" t="s">
        <v>511</v>
      </c>
      <c r="B72" s="323"/>
      <c r="C72" s="323"/>
      <c r="D72" s="323"/>
      <c r="E72" s="323"/>
      <c r="F72" s="323"/>
      <c r="G72" s="323"/>
      <c r="H72" s="357"/>
      <c r="I72" s="339"/>
      <c r="J72" s="357"/>
      <c r="K72" s="339"/>
      <c r="L72" s="323"/>
      <c r="N72" s="352"/>
    </row>
    <row r="73" customFormat="false" ht="12.75" hidden="false" customHeight="false" outlineLevel="0" collapsed="false">
      <c r="A73" s="344"/>
      <c r="B73" s="323"/>
      <c r="C73" s="344"/>
      <c r="D73" s="323"/>
      <c r="E73" s="323"/>
      <c r="F73" s="323"/>
      <c r="G73" s="323"/>
      <c r="H73" s="323"/>
      <c r="I73" s="339"/>
      <c r="J73" s="339"/>
      <c r="K73" s="339"/>
      <c r="L73" s="323"/>
      <c r="N73" s="352"/>
    </row>
    <row r="74" customFormat="false" ht="12.75" hidden="false" customHeight="false" outlineLevel="0" collapsed="false">
      <c r="A74" s="323"/>
      <c r="B74" s="323"/>
      <c r="C74" s="323"/>
      <c r="D74" s="323"/>
      <c r="E74" s="323"/>
      <c r="F74" s="323"/>
      <c r="G74" s="323"/>
      <c r="H74" s="323"/>
      <c r="I74" s="339"/>
      <c r="J74" s="339"/>
      <c r="K74" s="339"/>
      <c r="L74" s="323"/>
      <c r="N74" s="352"/>
    </row>
    <row r="75" customFormat="false" ht="12.75" hidden="false" customHeight="false" outlineLevel="0" collapsed="false">
      <c r="A75" s="323"/>
      <c r="B75" s="323"/>
      <c r="C75" s="323"/>
      <c r="D75" s="323"/>
      <c r="E75" s="323"/>
      <c r="F75" s="323"/>
      <c r="G75" s="323"/>
      <c r="H75" s="323"/>
      <c r="I75" s="339"/>
      <c r="J75" s="339"/>
      <c r="K75" s="339"/>
      <c r="L75" s="323"/>
      <c r="N75" s="352"/>
    </row>
    <row r="76" customFormat="false" ht="12.75" hidden="false" customHeight="false" outlineLevel="0" collapsed="false">
      <c r="A76" s="323"/>
      <c r="B76" s="323"/>
      <c r="C76" s="323"/>
      <c r="D76" s="323"/>
      <c r="E76" s="323"/>
      <c r="F76" s="323"/>
      <c r="G76" s="323"/>
      <c r="H76" s="323"/>
      <c r="I76" s="339"/>
      <c r="J76" s="339"/>
      <c r="K76" s="339"/>
      <c r="L76" s="323"/>
      <c r="N76" s="352"/>
    </row>
    <row r="77" customFormat="false" ht="12.75" hidden="false" customHeight="false" outlineLevel="0" collapsed="false">
      <c r="A77" s="323"/>
      <c r="B77" s="323"/>
      <c r="C77" s="323"/>
      <c r="D77" s="323"/>
      <c r="E77" s="323"/>
      <c r="F77" s="323"/>
      <c r="G77" s="323"/>
      <c r="H77" s="323"/>
      <c r="I77" s="339"/>
      <c r="J77" s="339"/>
      <c r="K77" s="339"/>
      <c r="L77" s="323"/>
      <c r="N77" s="352"/>
    </row>
    <row r="78" customFormat="false" ht="12.75" hidden="false" customHeight="false" outlineLevel="0" collapsed="false">
      <c r="A78" s="323"/>
      <c r="B78" s="323"/>
      <c r="C78" s="323"/>
      <c r="D78" s="323"/>
      <c r="E78" s="323"/>
      <c r="F78" s="323"/>
      <c r="G78" s="323"/>
      <c r="H78" s="323"/>
      <c r="I78" s="339"/>
      <c r="J78" s="339"/>
      <c r="K78" s="339"/>
      <c r="L78" s="323"/>
      <c r="N78" s="352"/>
    </row>
    <row r="79" customFormat="false" ht="12.75" hidden="false" customHeight="false" outlineLevel="0" collapsed="false">
      <c r="A79" s="323"/>
      <c r="B79" s="323"/>
      <c r="C79" s="323"/>
      <c r="D79" s="323"/>
      <c r="E79" s="323"/>
      <c r="F79" s="323"/>
      <c r="G79" s="323"/>
      <c r="H79" s="323"/>
      <c r="I79" s="339"/>
      <c r="J79" s="339"/>
      <c r="K79" s="339"/>
      <c r="L79" s="323"/>
      <c r="N79" s="352"/>
    </row>
    <row r="80" customFormat="false" ht="12.75" hidden="false" customHeight="false" outlineLevel="0" collapsed="false">
      <c r="A80" s="323"/>
      <c r="B80" s="323"/>
      <c r="C80" s="323"/>
      <c r="D80" s="323"/>
      <c r="E80" s="323"/>
      <c r="F80" s="323"/>
      <c r="G80" s="323"/>
      <c r="H80" s="323"/>
      <c r="I80" s="339"/>
      <c r="J80" s="339"/>
      <c r="K80" s="339"/>
      <c r="L80" s="323"/>
      <c r="N80" s="352"/>
    </row>
    <row r="81" customFormat="false" ht="12.75" hidden="false" customHeight="false" outlineLevel="0" collapsed="false">
      <c r="A81" s="323"/>
      <c r="B81" s="323"/>
      <c r="C81" s="323"/>
      <c r="D81" s="323"/>
      <c r="E81" s="323"/>
      <c r="F81" s="323"/>
      <c r="G81" s="323"/>
      <c r="H81" s="323"/>
      <c r="I81" s="339"/>
      <c r="J81" s="339"/>
      <c r="K81" s="339"/>
      <c r="L81" s="323"/>
      <c r="N81" s="352"/>
    </row>
    <row r="82" customFormat="false" ht="12.75" hidden="false" customHeight="false" outlineLevel="0" collapsed="false">
      <c r="A82" s="323"/>
      <c r="B82" s="323"/>
      <c r="C82" s="323"/>
      <c r="D82" s="323"/>
      <c r="E82" s="323"/>
      <c r="F82" s="323"/>
      <c r="G82" s="323"/>
      <c r="H82" s="323"/>
      <c r="I82" s="339"/>
      <c r="J82" s="339"/>
      <c r="K82" s="339"/>
      <c r="L82" s="323"/>
      <c r="N82" s="352"/>
    </row>
    <row r="83" customFormat="false" ht="12.75" hidden="false" customHeight="false" outlineLevel="0" collapsed="false">
      <c r="A83" s="323"/>
      <c r="B83" s="323"/>
      <c r="C83" s="323"/>
      <c r="D83" s="323"/>
      <c r="E83" s="323"/>
      <c r="F83" s="323"/>
      <c r="G83" s="323"/>
      <c r="H83" s="323"/>
      <c r="I83" s="339"/>
      <c r="J83" s="339"/>
      <c r="K83" s="339"/>
      <c r="L83" s="323"/>
      <c r="N83" s="352"/>
    </row>
    <row r="84" customFormat="false" ht="12.75" hidden="false" customHeight="false" outlineLevel="0" collapsed="false">
      <c r="A84" s="323"/>
      <c r="B84" s="323"/>
      <c r="C84" s="323"/>
      <c r="D84" s="323"/>
      <c r="E84" s="323"/>
      <c r="F84" s="323"/>
      <c r="G84" s="323"/>
      <c r="H84" s="323"/>
      <c r="I84" s="339"/>
      <c r="J84" s="339"/>
      <c r="K84" s="339"/>
      <c r="L84" s="323"/>
      <c r="N84" s="352"/>
    </row>
    <row r="85" customFormat="false" ht="12.75" hidden="false" customHeight="false" outlineLevel="0" collapsed="false">
      <c r="A85" s="323"/>
      <c r="B85" s="323"/>
      <c r="C85" s="323"/>
      <c r="D85" s="323"/>
      <c r="E85" s="323"/>
      <c r="F85" s="323"/>
      <c r="G85" s="323"/>
      <c r="H85" s="323"/>
      <c r="I85" s="339"/>
      <c r="J85" s="339"/>
      <c r="K85" s="339"/>
      <c r="L85" s="323"/>
      <c r="N85" s="352"/>
    </row>
    <row r="86" customFormat="false" ht="12.75" hidden="false" customHeight="false" outlineLevel="0" collapsed="false">
      <c r="A86" s="323"/>
      <c r="B86" s="323"/>
      <c r="C86" s="323"/>
      <c r="D86" s="323"/>
      <c r="E86" s="323"/>
      <c r="F86" s="323"/>
      <c r="G86" s="323"/>
      <c r="H86" s="323"/>
      <c r="I86" s="339"/>
      <c r="J86" s="339"/>
      <c r="K86" s="339"/>
      <c r="L86" s="323"/>
      <c r="N86" s="352"/>
    </row>
    <row r="87" customFormat="false" ht="12.75" hidden="false" customHeight="false" outlineLevel="0" collapsed="false">
      <c r="A87" s="323"/>
      <c r="B87" s="323"/>
      <c r="C87" s="323"/>
      <c r="D87" s="323"/>
      <c r="E87" s="323"/>
      <c r="F87" s="323"/>
      <c r="G87" s="323"/>
      <c r="H87" s="323"/>
      <c r="I87" s="339"/>
      <c r="J87" s="339"/>
      <c r="K87" s="339"/>
      <c r="L87" s="323"/>
      <c r="N87" s="352"/>
    </row>
    <row r="88" customFormat="false" ht="12.75" hidden="false" customHeight="false" outlineLevel="0" collapsed="false">
      <c r="A88" s="323"/>
      <c r="B88" s="323"/>
      <c r="C88" s="323"/>
      <c r="D88" s="323"/>
      <c r="E88" s="323"/>
      <c r="F88" s="323"/>
      <c r="G88" s="323"/>
      <c r="H88" s="323"/>
      <c r="I88" s="339"/>
      <c r="J88" s="339"/>
      <c r="K88" s="339"/>
      <c r="L88" s="323"/>
      <c r="N88" s="352"/>
    </row>
    <row r="89" customFormat="false" ht="12.75" hidden="false" customHeight="false" outlineLevel="0" collapsed="false">
      <c r="A89" s="323"/>
      <c r="B89" s="323"/>
      <c r="C89" s="323"/>
      <c r="D89" s="323"/>
      <c r="E89" s="323"/>
      <c r="F89" s="323"/>
      <c r="G89" s="323"/>
      <c r="H89" s="323"/>
      <c r="I89" s="339"/>
      <c r="J89" s="339"/>
      <c r="K89" s="339"/>
      <c r="L89" s="323"/>
    </row>
    <row r="90" customFormat="false" ht="12.75" hidden="false" customHeight="false" outlineLevel="0" collapsed="false">
      <c r="A90" s="323"/>
      <c r="B90" s="323"/>
      <c r="C90" s="323"/>
      <c r="D90" s="323"/>
      <c r="E90" s="323"/>
      <c r="F90" s="323"/>
      <c r="G90" s="323"/>
      <c r="H90" s="323"/>
      <c r="I90" s="339"/>
      <c r="J90" s="339"/>
      <c r="K90" s="339"/>
      <c r="L90" s="323"/>
    </row>
    <row r="91" customFormat="false" ht="12.75" hidden="false" customHeight="false" outlineLevel="0" collapsed="false">
      <c r="A91" s="323"/>
      <c r="B91" s="323"/>
      <c r="C91" s="323"/>
      <c r="D91" s="323"/>
      <c r="E91" s="323"/>
      <c r="F91" s="323"/>
      <c r="G91" s="323"/>
      <c r="H91" s="323"/>
    </row>
    <row r="92" customFormat="false" ht="12.75" hidden="false" customHeight="false" outlineLevel="0" collapsed="false">
      <c r="A92" s="323"/>
      <c r="B92" s="323"/>
      <c r="C92" s="323"/>
      <c r="D92" s="323"/>
      <c r="E92" s="323"/>
      <c r="F92" s="323"/>
      <c r="G92" s="323"/>
      <c r="H92" s="323"/>
    </row>
    <row r="93" customFormat="false" ht="12.75" hidden="false" customHeight="false" outlineLevel="0" collapsed="false">
      <c r="A93" s="323"/>
      <c r="B93" s="323"/>
      <c r="C93" s="323"/>
      <c r="D93" s="323"/>
      <c r="E93" s="323"/>
      <c r="F93" s="323"/>
      <c r="G93" s="323"/>
      <c r="H93" s="323"/>
    </row>
    <row r="94" customFormat="false" ht="12.75" hidden="false" customHeight="false" outlineLevel="0" collapsed="false">
      <c r="A94" s="323"/>
      <c r="B94" s="323"/>
      <c r="C94" s="323"/>
      <c r="D94" s="323"/>
      <c r="E94" s="323"/>
      <c r="F94" s="323"/>
      <c r="G94" s="323"/>
      <c r="H94" s="323"/>
    </row>
    <row r="95" customFormat="false" ht="12.75" hidden="false" customHeight="false" outlineLevel="0" collapsed="false">
      <c r="A95" s="323"/>
      <c r="B95" s="323"/>
      <c r="C95" s="323"/>
      <c r="D95" s="323"/>
      <c r="E95" s="323"/>
      <c r="F95" s="323"/>
      <c r="G95" s="323"/>
      <c r="H95" s="323"/>
    </row>
    <row r="96" customFormat="false" ht="12.75" hidden="false" customHeight="false" outlineLevel="0" collapsed="false">
      <c r="A96" s="323"/>
      <c r="B96" s="323"/>
      <c r="C96" s="323"/>
      <c r="D96" s="323"/>
      <c r="E96" s="323"/>
      <c r="F96" s="323"/>
      <c r="G96" s="323"/>
      <c r="H96" s="323"/>
    </row>
    <row r="97" customFormat="false" ht="12.75" hidden="false" customHeight="false" outlineLevel="0" collapsed="false">
      <c r="A97" s="323"/>
      <c r="B97" s="323"/>
      <c r="C97" s="323"/>
      <c r="D97" s="323"/>
      <c r="E97" s="323"/>
      <c r="F97" s="323"/>
      <c r="G97" s="323"/>
      <c r="H97" s="323"/>
    </row>
    <row r="98" customFormat="false" ht="12.75" hidden="false" customHeight="false" outlineLevel="0" collapsed="false">
      <c r="A98" s="323"/>
      <c r="B98" s="323"/>
      <c r="C98" s="323"/>
      <c r="D98" s="323"/>
      <c r="E98" s="323"/>
    </row>
    <row r="99" customFormat="false" ht="12.75" hidden="false" customHeight="false" outlineLevel="0" collapsed="false">
      <c r="A99" s="323"/>
      <c r="B99" s="323"/>
      <c r="C99" s="323"/>
      <c r="D99" s="323"/>
      <c r="E99" s="323"/>
    </row>
    <row r="100" customFormat="false" ht="12.75" hidden="false" customHeight="false" outlineLevel="0" collapsed="false">
      <c r="A100" s="323"/>
      <c r="B100" s="323"/>
      <c r="C100" s="323"/>
      <c r="D100" s="323"/>
      <c r="E100" s="323"/>
    </row>
    <row r="101" customFormat="false" ht="12.75" hidden="false" customHeight="false" outlineLevel="0" collapsed="false">
      <c r="A101" s="323"/>
      <c r="B101" s="323"/>
      <c r="C101" s="323"/>
      <c r="D101" s="323"/>
      <c r="E101" s="323"/>
    </row>
    <row r="102" customFormat="false" ht="12.75" hidden="false" customHeight="false" outlineLevel="0" collapsed="false">
      <c r="A102" s="323"/>
      <c r="B102" s="323"/>
      <c r="C102" s="3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4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100" zoomScalePageLayoutView="7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2" min="2" style="0" width="19.99"/>
    <col collapsed="false" customWidth="true" hidden="false" outlineLevel="0" max="6" min="3" style="0" width="12.7"/>
    <col collapsed="false" customWidth="true" hidden="true" outlineLevel="0" max="7" min="7" style="0" width="12.7"/>
    <col collapsed="false" customWidth="true" hidden="true" outlineLevel="0" max="8" min="8" style="0" width="9.7"/>
    <col collapsed="false" customWidth="true" hidden="false" outlineLevel="0" max="9" min="9" style="0" width="12.85"/>
    <col collapsed="false" customWidth="true" hidden="true" outlineLevel="0" max="13" min="10" style="0" width="12.85"/>
    <col collapsed="false" customWidth="true" hidden="true" outlineLevel="0" max="14" min="14" style="0" width="11.85"/>
    <col collapsed="false" customWidth="true" hidden="true" outlineLevel="0" max="15" min="15" style="0" width="12.7"/>
    <col collapsed="false" customWidth="true" hidden="true" outlineLevel="0" max="17" min="16" style="0" width="11.85"/>
    <col collapsed="false" customWidth="true" hidden="true" outlineLevel="0" max="18" min="18" style="0" width="13.56"/>
    <col collapsed="false" customWidth="true" hidden="true" outlineLevel="0" max="20" min="19" style="0" width="11.85"/>
    <col collapsed="false" customWidth="true" hidden="false" outlineLevel="0" max="23" min="21" style="0" width="11.85"/>
  </cols>
  <sheetData>
    <row r="1" customFormat="false" ht="15.75" hidden="false" customHeight="false" outlineLevel="0" collapsed="false">
      <c r="A1" s="358" t="s">
        <v>513</v>
      </c>
    </row>
    <row r="2" customFormat="false" ht="12.75" hidden="false" customHeight="false" outlineLevel="0" collapsed="false">
      <c r="A2" s="28" t="s">
        <v>514</v>
      </c>
    </row>
    <row r="3" customFormat="false" ht="12.75" hidden="false" customHeight="false" outlineLevel="0" collapsed="false">
      <c r="A3" s="0" t="s">
        <v>122</v>
      </c>
    </row>
    <row r="4" customFormat="false" ht="12.75" hidden="false" customHeight="false" outlineLevel="0" collapsed="false">
      <c r="A4" s="359"/>
      <c r="B4" s="359"/>
      <c r="C4" s="360" t="n">
        <v>36544</v>
      </c>
      <c r="D4" s="359" t="s">
        <v>4</v>
      </c>
      <c r="E4" s="359" t="s">
        <v>515</v>
      </c>
      <c r="F4" s="359"/>
      <c r="G4" s="359"/>
      <c r="H4" s="359"/>
      <c r="I4" s="359" t="s">
        <v>516</v>
      </c>
      <c r="J4" s="361" t="s">
        <v>67</v>
      </c>
      <c r="K4" s="361" t="s">
        <v>61</v>
      </c>
      <c r="L4" s="361" t="s">
        <v>61</v>
      </c>
      <c r="M4" s="361" t="s">
        <v>61</v>
      </c>
      <c r="N4" s="361" t="s">
        <v>61</v>
      </c>
      <c r="O4" s="359" t="s">
        <v>61</v>
      </c>
      <c r="P4" s="362" t="s">
        <v>517</v>
      </c>
      <c r="Q4" s="362" t="s">
        <v>518</v>
      </c>
      <c r="R4" s="362" t="s">
        <v>519</v>
      </c>
      <c r="S4" s="362" t="s">
        <v>520</v>
      </c>
      <c r="T4" s="361" t="s">
        <v>61</v>
      </c>
      <c r="U4" s="361" t="s">
        <v>61</v>
      </c>
      <c r="V4" s="362" t="s">
        <v>517</v>
      </c>
      <c r="W4" s="362" t="s">
        <v>517</v>
      </c>
      <c r="X4" s="363" t="s">
        <v>521</v>
      </c>
      <c r="Y4" s="363" t="s">
        <v>522</v>
      </c>
      <c r="Z4" s="363" t="s">
        <v>521</v>
      </c>
      <c r="AA4" s="363" t="s">
        <v>522</v>
      </c>
    </row>
    <row r="5" customFormat="false" ht="12.75" hidden="false" customHeight="false" outlineLevel="0" collapsed="false">
      <c r="A5" s="364" t="s">
        <v>523</v>
      </c>
      <c r="B5" s="364" t="s">
        <v>524</v>
      </c>
      <c r="C5" s="364" t="s">
        <v>525</v>
      </c>
      <c r="D5" s="364" t="s">
        <v>526</v>
      </c>
      <c r="E5" s="364" t="s">
        <v>527</v>
      </c>
      <c r="F5" s="364" t="s">
        <v>528</v>
      </c>
      <c r="G5" s="364" t="s">
        <v>509</v>
      </c>
      <c r="H5" s="364" t="s">
        <v>529</v>
      </c>
      <c r="I5" s="364" t="s">
        <v>6</v>
      </c>
      <c r="J5" s="365" t="n">
        <v>1998</v>
      </c>
      <c r="K5" s="365" t="n">
        <v>1996</v>
      </c>
      <c r="L5" s="365" t="n">
        <v>1997</v>
      </c>
      <c r="M5" s="365" t="n">
        <v>1998</v>
      </c>
      <c r="N5" s="365" t="n">
        <v>1998</v>
      </c>
      <c r="O5" s="365" t="n">
        <v>1999</v>
      </c>
      <c r="P5" s="365" t="n">
        <v>1999</v>
      </c>
      <c r="Q5" s="365" t="n">
        <v>1999</v>
      </c>
      <c r="R5" s="365" t="n">
        <v>1998</v>
      </c>
      <c r="S5" s="365" t="n">
        <v>1998</v>
      </c>
      <c r="T5" s="365" t="n">
        <v>1999</v>
      </c>
      <c r="U5" s="365" t="n">
        <v>2000</v>
      </c>
      <c r="V5" s="365" t="n">
        <v>1999</v>
      </c>
      <c r="W5" s="365" t="n">
        <v>2000</v>
      </c>
      <c r="X5" s="366" t="n">
        <v>1999</v>
      </c>
      <c r="Y5" s="366" t="n">
        <v>1999</v>
      </c>
      <c r="Z5" s="366" t="n">
        <v>2000</v>
      </c>
      <c r="AA5" s="366" t="n">
        <v>2000</v>
      </c>
    </row>
    <row r="6" customFormat="false" ht="12.75" hidden="false" customHeight="false" outlineLevel="0" collapsed="false">
      <c r="A6" s="359" t="s">
        <v>530</v>
      </c>
      <c r="B6" s="359" t="s">
        <v>531</v>
      </c>
      <c r="C6" s="367" t="n">
        <f aca="false">33+0.125</f>
        <v>33.125</v>
      </c>
      <c r="D6" s="359" t="n">
        <v>137.215462</v>
      </c>
      <c r="E6" s="359" t="n">
        <f aca="false">C6*D6</f>
        <v>4545.26217875</v>
      </c>
      <c r="F6" s="359" t="n">
        <f aca="false">212.138+35.02+2285.654</f>
        <v>2532.812</v>
      </c>
      <c r="G6" s="359" t="n">
        <v>74.22</v>
      </c>
      <c r="H6" s="359" t="n">
        <v>235.197</v>
      </c>
      <c r="I6" s="359" t="n">
        <f aca="false">E6+F6-G6+H6</f>
        <v>7239.05117875</v>
      </c>
      <c r="J6" s="324" t="n">
        <v>386.497</v>
      </c>
      <c r="K6" s="359" t="n">
        <f aca="false">561.566+7.79+253.005+339.276</f>
        <v>1161.637</v>
      </c>
      <c r="L6" s="359" t="n">
        <f aca="false">576.974+7.462+234.179+346</f>
        <v>1164.615</v>
      </c>
      <c r="M6" s="359" t="n">
        <f aca="false">573.613+7.026+267.673+348.403</f>
        <v>1196.715</v>
      </c>
      <c r="N6" s="359" t="n">
        <f aca="false">100.084+89.474+35.23+1.862</f>
        <v>226.65</v>
      </c>
      <c r="O6" s="359" t="n">
        <f aca="false">N6-(88.349+86.854+29.911+2.261)+1197</f>
        <v>1216.275</v>
      </c>
      <c r="P6" s="368" t="n">
        <f aca="false">I6/O6</f>
        <v>5.95182107562023</v>
      </c>
      <c r="Q6" s="324" t="n">
        <v>6648.034</v>
      </c>
      <c r="R6" s="368" t="n">
        <f aca="false">I6/Q6</f>
        <v>1.08890104634694</v>
      </c>
      <c r="S6" s="369" t="n">
        <f aca="false">M6/J6</f>
        <v>3.09631122621909</v>
      </c>
      <c r="T6" s="324" t="n">
        <f aca="false">X6*D6*3.1</f>
        <v>1246.328041346</v>
      </c>
      <c r="U6" s="324" t="n">
        <f aca="false">D6*Z6*3.1</f>
        <v>1305.879551854</v>
      </c>
      <c r="V6" s="368" t="n">
        <f aca="false">I6/T6</f>
        <v>5.80830322242611</v>
      </c>
      <c r="W6" s="368" t="n">
        <f aca="false">I6/U6</f>
        <v>5.54342945983991</v>
      </c>
      <c r="X6" s="324" t="n">
        <v>2.93</v>
      </c>
      <c r="Y6" s="324" t="n">
        <f aca="false">C6/X6</f>
        <v>11.3054607508532</v>
      </c>
      <c r="Z6" s="324" t="n">
        <v>3.07</v>
      </c>
      <c r="AA6" s="324" t="n">
        <f aca="false">C6/Z6</f>
        <v>10.7899022801303</v>
      </c>
    </row>
    <row r="7" customFormat="false" ht="12.75" hidden="false" customHeight="false" outlineLevel="0" collapsed="false">
      <c r="A7" s="359" t="s">
        <v>532</v>
      </c>
      <c r="B7" s="359" t="s">
        <v>533</v>
      </c>
      <c r="C7" s="367" t="n">
        <f aca="false">33+0.4375</f>
        <v>33.4375</v>
      </c>
      <c r="D7" s="359" t="n">
        <v>192</v>
      </c>
      <c r="E7" s="359" t="n">
        <f aca="false">C7*D7</f>
        <v>6420</v>
      </c>
      <c r="F7" s="359" t="n">
        <f aca="false">626+490+6542</f>
        <v>7658</v>
      </c>
      <c r="G7" s="359" t="n">
        <v>280</v>
      </c>
      <c r="H7" s="359" t="n">
        <v>174</v>
      </c>
      <c r="I7" s="359" t="n">
        <f aca="false">E7+F7-G7+H7</f>
        <v>13972</v>
      </c>
      <c r="J7" s="370" t="n">
        <v>536.183</v>
      </c>
      <c r="K7" s="359" t="n">
        <f aca="false">1010.184+342.222+600.851</f>
        <v>1953.257</v>
      </c>
      <c r="L7" s="359" t="n">
        <f aca="false">1044.026+341.28+591.071</f>
        <v>1976.377</v>
      </c>
      <c r="M7" s="359" t="n">
        <f aca="false">966.197+316.201+579.997</f>
        <v>1862.395</v>
      </c>
      <c r="N7" s="359" t="n">
        <f aca="false">376+148</f>
        <v>524</v>
      </c>
      <c r="O7" s="359" t="n">
        <f aca="false">N7-(340+144)+1862</f>
        <v>1902</v>
      </c>
      <c r="P7" s="368" t="n">
        <f aca="false">I7/O7</f>
        <v>7.3459516298633</v>
      </c>
      <c r="Q7" s="324" t="n">
        <v>12815</v>
      </c>
      <c r="R7" s="368" t="n">
        <f aca="false">I7/Q7</f>
        <v>1.09028482247366</v>
      </c>
      <c r="S7" s="369" t="n">
        <f aca="false">M7/J7</f>
        <v>3.47343164553893</v>
      </c>
      <c r="T7" s="324" t="n">
        <f aca="false">X7*D7*3.2</f>
        <v>1966.08</v>
      </c>
      <c r="U7" s="324" t="n">
        <f aca="false">D7*Z7*3.2</f>
        <v>2107.392</v>
      </c>
      <c r="V7" s="368" t="n">
        <f aca="false">I7/T7</f>
        <v>7.10652669270833</v>
      </c>
      <c r="W7" s="368" t="n">
        <f aca="false">I7/U7</f>
        <v>6.62999574829932</v>
      </c>
      <c r="X7" s="324" t="n">
        <v>3.2</v>
      </c>
      <c r="Y7" s="324" t="n">
        <f aca="false">C7/X7</f>
        <v>10.44921875</v>
      </c>
      <c r="Z7" s="324" t="n">
        <v>3.43</v>
      </c>
      <c r="AA7" s="324" t="n">
        <f aca="false">C7/Z7</f>
        <v>9.74854227405248</v>
      </c>
    </row>
    <row r="8" customFormat="false" ht="12.75" hidden="false" customHeight="false" outlineLevel="0" collapsed="false">
      <c r="A8" s="359" t="s">
        <v>534</v>
      </c>
      <c r="B8" s="359" t="s">
        <v>535</v>
      </c>
      <c r="C8" s="367" t="n">
        <f aca="false">22+0.1875</f>
        <v>22.1875</v>
      </c>
      <c r="D8" s="359" t="n">
        <v>229.14</v>
      </c>
      <c r="E8" s="359" t="n">
        <f aca="false">C8*D8</f>
        <v>5084.04375</v>
      </c>
      <c r="F8" s="359" t="n">
        <f aca="false">841.513+265.734+6335.289</f>
        <v>7442.536</v>
      </c>
      <c r="G8" s="359" t="n">
        <v>45.612</v>
      </c>
      <c r="H8" s="359" t="n">
        <f aca="false">660.195+174.71+120</f>
        <v>954.905</v>
      </c>
      <c r="I8" s="359" t="n">
        <f aca="false">E8+F8-G8+H8</f>
        <v>13435.87275</v>
      </c>
      <c r="J8" s="370" t="n">
        <v>441.396</v>
      </c>
      <c r="K8" s="359" t="n">
        <f aca="false">768.901+3.136+383.441</f>
        <v>1155.478</v>
      </c>
      <c r="L8" s="359" t="n">
        <f aca="false">822.289+3.469+475.228</f>
        <v>1300.986</v>
      </c>
      <c r="M8" s="359" t="n">
        <f aca="false">1364.071+7.642+740.953</f>
        <v>2112.666</v>
      </c>
      <c r="N8" s="359" t="n">
        <f aca="false">375.723+2.685+189.838</f>
        <v>568.246</v>
      </c>
      <c r="O8" s="359" t="n">
        <f aca="false">N8-(350.301+1.481+194.127)+2113</f>
        <v>2135.337</v>
      </c>
      <c r="P8" s="368" t="n">
        <f aca="false">I8/O8</f>
        <v>6.29215564100655</v>
      </c>
      <c r="Q8" s="324" t="n">
        <v>9219.634</v>
      </c>
      <c r="R8" s="368" t="n">
        <f aca="false">I8/Q8</f>
        <v>1.45731085962848</v>
      </c>
      <c r="S8" s="369" t="n">
        <f aca="false">M8/J8</f>
        <v>4.7863279232254</v>
      </c>
      <c r="T8" s="324" t="n">
        <f aca="false">X8*D8*4</f>
        <v>2254.7376</v>
      </c>
      <c r="U8" s="324" t="n">
        <f aca="false">D8*Z8*4</f>
        <v>2383.056</v>
      </c>
      <c r="V8" s="368" t="n">
        <f aca="false">I8/T8</f>
        <v>5.9589518310246</v>
      </c>
      <c r="W8" s="368" t="n">
        <f aca="false">I8/U8</f>
        <v>5.63808519396943</v>
      </c>
      <c r="X8" s="324" t="n">
        <v>2.46</v>
      </c>
      <c r="Y8" s="324" t="n">
        <f aca="false">C8/X8</f>
        <v>9.01930894308943</v>
      </c>
      <c r="Z8" s="324" t="n">
        <v>2.6</v>
      </c>
      <c r="AA8" s="324" t="n">
        <f aca="false">C8/Z8</f>
        <v>8.53365384615385</v>
      </c>
    </row>
    <row r="9" customFormat="false" ht="12.75" hidden="false" customHeight="false" outlineLevel="0" collapsed="false">
      <c r="A9" s="359" t="s">
        <v>536</v>
      </c>
      <c r="B9" s="359" t="s">
        <v>537</v>
      </c>
      <c r="C9" s="367" t="n">
        <v>42</v>
      </c>
      <c r="D9" s="359" t="n">
        <v>69.919287</v>
      </c>
      <c r="E9" s="359" t="n">
        <f aca="false">C9*D9</f>
        <v>2936.610054</v>
      </c>
      <c r="F9" s="359" t="n">
        <f aca="false">175.7+2078.7+182</f>
        <v>2436.4</v>
      </c>
      <c r="G9" s="359" t="n">
        <v>65.7</v>
      </c>
      <c r="H9" s="359" t="n">
        <f aca="false">52.9+194.5</f>
        <v>247.4</v>
      </c>
      <c r="I9" s="359" t="n">
        <f aca="false">E9+F9-G9+H9</f>
        <v>5554.710054</v>
      </c>
      <c r="J9" s="370" t="n">
        <f aca="false">-1383+2341.2</f>
        <v>958.2</v>
      </c>
      <c r="K9" s="371" t="n">
        <f aca="false">477.2+6.5+190</f>
        <v>673.7</v>
      </c>
      <c r="L9" s="324" t="n">
        <f aca="false">324.4+5+198.8</f>
        <v>528.2</v>
      </c>
      <c r="M9" s="359" t="n">
        <v>712.7</v>
      </c>
      <c r="N9" s="359" t="n">
        <f aca="false">75.1+1.2+44.5</f>
        <v>120.8</v>
      </c>
      <c r="O9" s="359" t="n">
        <f aca="false">N9-(67.7+1.1+50.7)+(-2276.7+2341.2+203.6+3.2)</f>
        <v>272.6</v>
      </c>
      <c r="P9" s="368" t="n">
        <f aca="false">I9/M9</f>
        <v>7.79389652588747</v>
      </c>
      <c r="Q9" s="324" t="n">
        <v>4470.2</v>
      </c>
      <c r="R9" s="368" t="n">
        <f aca="false">I9/Q9</f>
        <v>1.2426088438996</v>
      </c>
      <c r="S9" s="369" t="n">
        <f aca="false">M9/J9</f>
        <v>0.743790440409101</v>
      </c>
      <c r="T9" s="324" t="n">
        <v>599.191472248728</v>
      </c>
      <c r="U9" s="324" t="n">
        <v>610.405695827235</v>
      </c>
      <c r="V9" s="368" t="n">
        <f aca="false">I9/T9</f>
        <v>9.27034230502901</v>
      </c>
      <c r="W9" s="368" t="n">
        <f aca="false">I9/U9</f>
        <v>9.10002985223153</v>
      </c>
      <c r="X9" s="324" t="n">
        <v>1.16</v>
      </c>
      <c r="Y9" s="324" t="n">
        <f aca="false">C9/X9</f>
        <v>36.2068965517241</v>
      </c>
      <c r="Z9" s="324" t="n">
        <v>1.98</v>
      </c>
      <c r="AA9" s="324" t="n">
        <f aca="false">C9/Z9</f>
        <v>21.2121212121212</v>
      </c>
    </row>
    <row r="10" customFormat="false" ht="12.75" hidden="false" customHeight="false" outlineLevel="0" collapsed="false">
      <c r="A10" s="359" t="s">
        <v>538</v>
      </c>
      <c r="B10" s="359" t="s">
        <v>539</v>
      </c>
      <c r="C10" s="367" t="n">
        <f aca="false">16+0.4375</f>
        <v>16.4375</v>
      </c>
      <c r="D10" s="359" t="n">
        <v>129.677</v>
      </c>
      <c r="E10" s="359" t="n">
        <f aca="false">C10*D10</f>
        <v>2131.5656875</v>
      </c>
      <c r="F10" s="359" t="n">
        <f aca="false">61.5+1599.348</f>
        <v>1660.848</v>
      </c>
      <c r="G10" s="359" t="n">
        <v>139.4</v>
      </c>
      <c r="H10" s="359" t="n">
        <v>135.328</v>
      </c>
      <c r="I10" s="359" t="n">
        <f aca="false">E10+F10-G10+H10</f>
        <v>3788.3416875</v>
      </c>
      <c r="J10" s="370" t="n">
        <v>160.27</v>
      </c>
      <c r="K10" s="371" t="n">
        <v>360.31</v>
      </c>
      <c r="L10" s="324" t="n">
        <v>395.92</v>
      </c>
      <c r="M10" s="359" t="n">
        <v>375.49</v>
      </c>
      <c r="N10" s="359" t="n">
        <v>168.203</v>
      </c>
      <c r="O10" s="359" t="n">
        <f aca="false">M10-N10+229.053</f>
        <v>436.34</v>
      </c>
      <c r="P10" s="368" t="n">
        <f aca="false">I10/M10</f>
        <v>10.0890614596927</v>
      </c>
      <c r="Q10" s="324" t="n">
        <f aca="false">3238.43+466.127</f>
        <v>3704.557</v>
      </c>
      <c r="R10" s="368" t="n">
        <f aca="false">I10/Q10</f>
        <v>1.02261665497386</v>
      </c>
      <c r="S10" s="369" t="n">
        <f aca="false">M10/J10</f>
        <v>2.34285892556311</v>
      </c>
      <c r="T10" s="324" t="n">
        <f aca="false">X10*D10*4</f>
        <v>933.6744</v>
      </c>
      <c r="U10" s="324" t="n">
        <f aca="false">D10*Z10*4</f>
        <v>985.5452</v>
      </c>
      <c r="V10" s="368" t="n">
        <f aca="false">I10/T10</f>
        <v>4.0574548124057</v>
      </c>
      <c r="W10" s="368" t="n">
        <f aca="false">I10/U10</f>
        <v>3.84390455912119</v>
      </c>
      <c r="X10" s="324" t="n">
        <v>1.8</v>
      </c>
      <c r="Y10" s="324" t="n">
        <f aca="false">C10/X10</f>
        <v>9.13194444444445</v>
      </c>
      <c r="Z10" s="324" t="n">
        <v>1.9</v>
      </c>
      <c r="AA10" s="324" t="n">
        <f aca="false">C10/Z10</f>
        <v>8.65131578947369</v>
      </c>
    </row>
    <row r="11" customFormat="false" ht="12.75" hidden="false" customHeight="false" outlineLevel="0" collapsed="false">
      <c r="A11" s="359" t="s">
        <v>540</v>
      </c>
      <c r="B11" s="359" t="s">
        <v>541</v>
      </c>
      <c r="C11" s="367" t="n">
        <v>18</v>
      </c>
      <c r="D11" s="359" t="n">
        <v>122.646186</v>
      </c>
      <c r="E11" s="359" t="n">
        <f aca="false">C11*D11</f>
        <v>2207.631348</v>
      </c>
      <c r="F11" s="359" t="n">
        <f aca="false">1967.4+39.122+249.973</f>
        <v>2256.495</v>
      </c>
      <c r="G11" s="359" t="n">
        <v>64.482</v>
      </c>
      <c r="H11" s="359" t="n">
        <f aca="false">85.613+56.435+345</f>
        <v>487.048</v>
      </c>
      <c r="I11" s="359" t="n">
        <f aca="false">E11+F11-G11+H11</f>
        <v>4886.692348</v>
      </c>
      <c r="J11" s="370" t="n">
        <v>193.886</v>
      </c>
      <c r="K11" s="359" t="n">
        <f aca="false">386.308+11.241+233.993</f>
        <v>631.542</v>
      </c>
      <c r="L11" s="359" t="n">
        <f aca="false">410.553+15.768+249.804</f>
        <v>676.125</v>
      </c>
      <c r="M11" s="359" t="n">
        <f aca="false">421.506+10.584+256.474</f>
        <v>688.564</v>
      </c>
      <c r="N11" s="359" t="n">
        <f aca="false">155.909+72.909+7.084-2.708</f>
        <v>233.194</v>
      </c>
      <c r="O11" s="359" t="n">
        <f aca="false">N11-(117.114+8.448+63.274)+(421.506+10.584+256.474)</f>
        <v>732.922</v>
      </c>
      <c r="P11" s="368" t="n">
        <f aca="false">I11/O11</f>
        <v>6.66741119518857</v>
      </c>
      <c r="Q11" s="324" t="n">
        <v>4842.813</v>
      </c>
      <c r="R11" s="368" t="n">
        <f aca="false">I11/Q11</f>
        <v>1.0090607149192</v>
      </c>
      <c r="S11" s="369" t="n">
        <f aca="false">M11/J11</f>
        <v>3.55138586592121</v>
      </c>
      <c r="T11" s="324" t="n">
        <f aca="false">X11*D11*3.5</f>
        <v>759.79312227</v>
      </c>
      <c r="U11" s="324" t="n">
        <f aca="false">D11*Z11*3.5</f>
        <v>828.47498643</v>
      </c>
      <c r="V11" s="368" t="n">
        <f aca="false">I11/T11</f>
        <v>6.43160908511549</v>
      </c>
      <c r="W11" s="368" t="n">
        <f aca="false">I11/U11</f>
        <v>5.8984186946396</v>
      </c>
      <c r="X11" s="324" t="n">
        <v>1.77</v>
      </c>
      <c r="Y11" s="324" t="n">
        <f aca="false">C11/X11</f>
        <v>10.1694915254237</v>
      </c>
      <c r="Z11" s="324" t="n">
        <v>1.93</v>
      </c>
      <c r="AA11" s="324" t="n">
        <f aca="false">C11/Z11</f>
        <v>9.32642487046632</v>
      </c>
    </row>
    <row r="12" customFormat="false" ht="12.75" hidden="false" customHeight="false" outlineLevel="0" collapsed="false">
      <c r="A12" s="359" t="s">
        <v>542</v>
      </c>
      <c r="B12" s="359" t="s">
        <v>543</v>
      </c>
      <c r="C12" s="367" t="n">
        <f aca="false">23+0.125</f>
        <v>23.125</v>
      </c>
      <c r="D12" s="359" t="n">
        <f aca="false">209.789/0.74</f>
        <v>283.498648648649</v>
      </c>
      <c r="E12" s="359" t="n">
        <f aca="false">C12*D12</f>
        <v>6555.90625</v>
      </c>
      <c r="F12" s="359" t="n">
        <f aca="false">6973.697+375.497</f>
        <v>7349.194</v>
      </c>
      <c r="G12" s="359" t="n">
        <v>83.795</v>
      </c>
      <c r="H12" s="359" t="n">
        <f aca="false">717.268+9.74</f>
        <v>727.008</v>
      </c>
      <c r="I12" s="359" t="n">
        <f aca="false">E12+F12-G12+H12</f>
        <v>14548.31325</v>
      </c>
      <c r="J12" s="372" t="n">
        <f aca="false">-141.092</f>
        <v>-141.092</v>
      </c>
      <c r="K12" s="359" t="n">
        <f aca="false">990.466+41.61-2.022+2.598+550.038</f>
        <v>1582.69</v>
      </c>
      <c r="L12" s="359" t="n">
        <f aca="false">1064.5-13.446+2.872+651.875+121.402</f>
        <v>1827.203</v>
      </c>
      <c r="M12" s="359" t="n">
        <f aca="false">1477.388-1110.11+1176.211+4.304+856.617</f>
        <v>2404.41</v>
      </c>
      <c r="N12" s="359" t="n">
        <f aca="false">190.115+10.313+0.702+0.93+190.585</f>
        <v>392.645</v>
      </c>
      <c r="O12" s="359" t="n">
        <f aca="false">N12-(282.892-171.793+0.957+175.599)+2362</f>
        <v>2466.99</v>
      </c>
      <c r="P12" s="368" t="n">
        <f aca="false">I12/O12</f>
        <v>5.89719182080187</v>
      </c>
      <c r="Q12" s="324" t="n">
        <v>11548.779</v>
      </c>
      <c r="R12" s="368" t="n">
        <f aca="false">I12/Q12</f>
        <v>1.25972739196066</v>
      </c>
      <c r="S12" s="369" t="n">
        <f aca="false">M12/J12</f>
        <v>-17.0414339579849</v>
      </c>
      <c r="T12" s="324" t="n">
        <f aca="false">X12*D12*3.9</f>
        <v>2244.45880135135</v>
      </c>
      <c r="U12" s="324" t="n">
        <f aca="false">D12*Z12*3.9</f>
        <v>2432.41840540541</v>
      </c>
      <c r="V12" s="368" t="n">
        <f aca="false">I12/T12</f>
        <v>6.48188028278385</v>
      </c>
      <c r="W12" s="368" t="n">
        <f aca="false">I12/U12</f>
        <v>5.98100771547783</v>
      </c>
      <c r="X12" s="324" t="n">
        <v>2.03</v>
      </c>
      <c r="Y12" s="324" t="n">
        <f aca="false">C12/X12</f>
        <v>11.3916256157635</v>
      </c>
      <c r="Z12" s="324" t="n">
        <v>2.2</v>
      </c>
      <c r="AA12" s="324" t="n">
        <f aca="false">C12/Z12</f>
        <v>10.5113636363636</v>
      </c>
    </row>
    <row r="13" customFormat="false" ht="12.75" hidden="false" customHeight="false" outlineLevel="0" collapsed="false">
      <c r="A13" s="359" t="s">
        <v>544</v>
      </c>
      <c r="B13" s="359" t="s">
        <v>545</v>
      </c>
      <c r="C13" s="367" t="n">
        <f aca="false">23+0.3125</f>
        <v>23.3125</v>
      </c>
      <c r="D13" s="359" t="n">
        <v>698.527</v>
      </c>
      <c r="E13" s="359" t="n">
        <f aca="false">C13*D13</f>
        <v>16284.4106875</v>
      </c>
      <c r="F13" s="359" t="n">
        <f aca="false">9952.508+1136.05</f>
        <v>11088.558</v>
      </c>
      <c r="G13" s="359" t="n">
        <v>554.095</v>
      </c>
      <c r="H13" s="359" t="n">
        <f aca="false">369.061+2426.965</f>
        <v>2796.026</v>
      </c>
      <c r="I13" s="359" t="n">
        <f aca="false">E13+F13-G13+H13</f>
        <v>29614.8996875</v>
      </c>
      <c r="J13" s="370" t="n">
        <v>977</v>
      </c>
      <c r="K13" s="359" t="n">
        <f aca="false">1944+747+1133</f>
        <v>3824</v>
      </c>
      <c r="L13" s="359" t="n">
        <f aca="false">2037+725+1367</f>
        <v>4129</v>
      </c>
      <c r="M13" s="359" t="n">
        <f aca="false">2184+678+1539</f>
        <v>4401</v>
      </c>
      <c r="N13" s="359" t="n">
        <f aca="false">511.086+315.081+108.608-21.343</f>
        <v>913.432</v>
      </c>
      <c r="O13" s="359" t="n">
        <f aca="false">N13-(529.27+332.085+135.922-16.587)+4052</f>
        <v>3984.742</v>
      </c>
      <c r="P13" s="368" t="n">
        <f aca="false">I13/O13</f>
        <v>7.4320745703235</v>
      </c>
      <c r="Q13" s="324" t="n">
        <v>23717.491</v>
      </c>
      <c r="R13" s="368" t="n">
        <f aca="false">I13/Q13</f>
        <v>1.24865230000509</v>
      </c>
      <c r="S13" s="369" t="n">
        <f aca="false">M13/J13</f>
        <v>4.50460593654043</v>
      </c>
      <c r="T13" s="324" t="n">
        <f aca="false">X13*D13*4.2</f>
        <v>5486.231058</v>
      </c>
      <c r="U13" s="324" t="n">
        <f aca="false">D13*Z13*4.2</f>
        <v>5926.303068</v>
      </c>
      <c r="V13" s="368" t="n">
        <f aca="false">I13/T13</f>
        <v>5.39804090903457</v>
      </c>
      <c r="W13" s="368" t="n">
        <f aca="false">I13/U13</f>
        <v>4.99719628707656</v>
      </c>
      <c r="X13" s="324" t="n">
        <v>1.87</v>
      </c>
      <c r="Y13" s="324" t="n">
        <f aca="false">C13/X13</f>
        <v>12.466577540107</v>
      </c>
      <c r="Z13" s="324" t="n">
        <v>2.02</v>
      </c>
      <c r="AA13" s="324" t="n">
        <f aca="false">C13/Z13</f>
        <v>11.5408415841584</v>
      </c>
    </row>
    <row r="14" customFormat="false" ht="12.75" hidden="false" customHeight="false" outlineLevel="0" collapsed="false">
      <c r="A14" s="359" t="s">
        <v>546</v>
      </c>
      <c r="B14" s="359" t="s">
        <v>547</v>
      </c>
      <c r="C14" s="367" t="n">
        <v>36</v>
      </c>
      <c r="D14" s="359" t="n">
        <v>282</v>
      </c>
      <c r="E14" s="359" t="n">
        <f aca="false">C14*D14</f>
        <v>10152</v>
      </c>
      <c r="F14" s="359" t="n">
        <f aca="false">16486+1072</f>
        <v>17558</v>
      </c>
      <c r="G14" s="359" t="n">
        <v>750</v>
      </c>
      <c r="H14" s="359" t="n">
        <f aca="false">190+21+1193</f>
        <v>1404</v>
      </c>
      <c r="I14" s="359" t="n">
        <f aca="false">E14+F14-G14+H14</f>
        <v>28364</v>
      </c>
      <c r="J14" s="370" t="n">
        <v>740</v>
      </c>
      <c r="K14" s="359" t="n">
        <f aca="false">1974+11+621</f>
        <v>2606</v>
      </c>
      <c r="L14" s="359" t="n">
        <f aca="false">1857+9+666</f>
        <v>2532</v>
      </c>
      <c r="M14" s="359" t="n">
        <f aca="false">2508+9+1147</f>
        <v>3664</v>
      </c>
      <c r="N14" s="359" t="n">
        <f aca="false">607+3+290</f>
        <v>900</v>
      </c>
      <c r="O14" s="359" t="n">
        <f aca="false">N14-(416+3+185)+3664</f>
        <v>3960</v>
      </c>
      <c r="P14" s="368" t="n">
        <f aca="false">I14/O14</f>
        <v>7.16262626262626</v>
      </c>
      <c r="Q14" s="324" t="n">
        <v>23310</v>
      </c>
      <c r="R14" s="368" t="n">
        <f aca="false">I14/Q14</f>
        <v>1.21681681681682</v>
      </c>
      <c r="S14" s="369" t="n">
        <f aca="false">M14/J14</f>
        <v>4.95135135135135</v>
      </c>
      <c r="T14" s="324" t="n">
        <f aca="false">X14*D14*3.5</f>
        <v>3128.79</v>
      </c>
      <c r="U14" s="324" t="n">
        <f aca="false">D14*Z14*3.5</f>
        <v>3345.93</v>
      </c>
      <c r="V14" s="368" t="n">
        <f aca="false">I14/T14</f>
        <v>9.06548537933195</v>
      </c>
      <c r="W14" s="368" t="n">
        <f aca="false">I14/U14</f>
        <v>8.47716479424256</v>
      </c>
      <c r="X14" s="324" t="n">
        <v>3.17</v>
      </c>
      <c r="Y14" s="324" t="n">
        <f aca="false">C14/X14</f>
        <v>11.3564668769716</v>
      </c>
      <c r="Z14" s="324" t="n">
        <v>3.39</v>
      </c>
      <c r="AA14" s="324" t="n">
        <f aca="false">C14/Z14</f>
        <v>10.6194690265487</v>
      </c>
    </row>
    <row r="15" customFormat="false" ht="12.75" hidden="false" customHeight="false" outlineLevel="0" collapsed="false">
      <c r="A15" s="359" t="s">
        <v>548</v>
      </c>
      <c r="B15" s="359" t="s">
        <v>549</v>
      </c>
      <c r="C15" s="367" t="n">
        <f aca="false">37+0.1875</f>
        <v>37.1875</v>
      </c>
      <c r="D15" s="359" t="n">
        <v>217.081</v>
      </c>
      <c r="E15" s="359" t="n">
        <f aca="false">C15*D15</f>
        <v>8072.6996875</v>
      </c>
      <c r="F15" s="359" t="n">
        <f aca="false">7677.109+923.834</f>
        <v>8600.943</v>
      </c>
      <c r="G15" s="359" t="n">
        <v>60.672</v>
      </c>
      <c r="H15" s="359" t="n">
        <f aca="false">74.482+69.475+350</f>
        <v>493.957</v>
      </c>
      <c r="I15" s="359" t="n">
        <f aca="false">E15+F15-G15+H15</f>
        <v>17106.9276875</v>
      </c>
      <c r="J15" s="324" t="n">
        <v>510.184</v>
      </c>
      <c r="K15" s="359" t="n">
        <f aca="false">1263.074+40.202+34.858+968.972+489.392</f>
        <v>2796.498</v>
      </c>
      <c r="L15" s="359" t="n">
        <f aca="false">912.067+42.325+95.445+1005.089+317.558</f>
        <v>2372.484</v>
      </c>
      <c r="M15" s="359" t="n">
        <f aca="false">1006.694+16.464+32.528+943.288+355.023</f>
        <v>2353.997</v>
      </c>
      <c r="N15" s="359" t="n">
        <f aca="false">225.951+231.332+63.264+4.211+7.638</f>
        <v>532.396</v>
      </c>
      <c r="O15" s="359" t="n">
        <f aca="false">N15-(195.902+248.902+55.146+3.16-18.76)+2354</f>
        <v>2402.046</v>
      </c>
      <c r="P15" s="368" t="n">
        <f aca="false">I15/O15</f>
        <v>7.1218151890097</v>
      </c>
      <c r="Q15" s="324" t="n">
        <v>13430.439</v>
      </c>
      <c r="R15" s="368" t="n">
        <f aca="false">I15/Q15</f>
        <v>1.27374300181104</v>
      </c>
      <c r="S15" s="369" t="n">
        <f aca="false">M15/J15</f>
        <v>4.61401572765904</v>
      </c>
      <c r="T15" s="324" t="n">
        <f aca="false">X15*D15*4.2</f>
        <v>2324.93751</v>
      </c>
      <c r="U15" s="324" t="n">
        <f aca="false">D15*Z15*4.2</f>
        <v>2744.338002</v>
      </c>
      <c r="V15" s="368" t="n">
        <f aca="false">I15/T15</f>
        <v>7.35801612470006</v>
      </c>
      <c r="W15" s="368" t="n">
        <f aca="false">I15/U15</f>
        <v>6.23353525514457</v>
      </c>
      <c r="X15" s="324" t="n">
        <v>2.55</v>
      </c>
      <c r="Y15" s="324" t="n">
        <f aca="false">C15/X15</f>
        <v>14.5833333333333</v>
      </c>
      <c r="Z15" s="324" t="n">
        <v>3.01</v>
      </c>
      <c r="AA15" s="324" t="n">
        <f aca="false">C15/Z15</f>
        <v>12.3546511627907</v>
      </c>
    </row>
    <row r="16" customFormat="false" ht="12.75" hidden="false" customHeight="false" outlineLevel="0" collapsed="false">
      <c r="A16" s="359"/>
      <c r="B16" s="359"/>
      <c r="C16" s="367"/>
      <c r="D16" s="359"/>
      <c r="E16" s="359"/>
      <c r="F16" s="359"/>
      <c r="G16" s="359"/>
      <c r="H16" s="359"/>
      <c r="I16" s="359"/>
      <c r="J16" s="324"/>
      <c r="K16" s="359"/>
      <c r="L16" s="359"/>
      <c r="M16" s="359"/>
      <c r="N16" s="359"/>
      <c r="O16" s="359"/>
      <c r="P16" s="368"/>
      <c r="Q16" s="324"/>
      <c r="R16" s="368"/>
      <c r="S16" s="369"/>
      <c r="T16" s="324"/>
      <c r="U16" s="324"/>
      <c r="V16" s="368"/>
      <c r="W16" s="368"/>
      <c r="X16" s="324"/>
      <c r="Y16" s="324"/>
      <c r="Z16" s="324"/>
      <c r="AA16" s="324"/>
    </row>
    <row r="17" customFormat="false" ht="12.75" hidden="false" customHeight="false" outlineLevel="0" collapsed="false">
      <c r="A17" s="359"/>
      <c r="B17" s="359"/>
      <c r="C17" s="367"/>
      <c r="D17" s="359"/>
      <c r="E17" s="359"/>
      <c r="F17" s="359"/>
      <c r="G17" s="359"/>
      <c r="H17" s="359"/>
      <c r="I17" s="359"/>
      <c r="J17" s="324"/>
      <c r="K17" s="359"/>
      <c r="L17" s="359"/>
      <c r="M17" s="359"/>
      <c r="N17" s="359"/>
      <c r="O17" s="359" t="s">
        <v>550</v>
      </c>
      <c r="P17" s="368" t="n">
        <f aca="false">MIN(P6:P15)</f>
        <v>5.89719182080187</v>
      </c>
      <c r="Q17" s="324"/>
      <c r="R17" s="368" t="n">
        <f aca="false">MIN(R6:R15)</f>
        <v>1.0090607149192</v>
      </c>
      <c r="S17" s="369"/>
      <c r="T17" s="324"/>
      <c r="U17" s="359" t="s">
        <v>550</v>
      </c>
      <c r="V17" s="368" t="n">
        <f aca="false">MIN(V6:V15)</f>
        <v>4.0574548124057</v>
      </c>
      <c r="W17" s="368" t="n">
        <f aca="false">MIN(W6:W15)</f>
        <v>3.84390455912119</v>
      </c>
      <c r="X17" s="368" t="n">
        <f aca="false">MIN(X6:X15)</f>
        <v>1.16</v>
      </c>
      <c r="Y17" s="368" t="n">
        <f aca="false">MIN(Y6:Y15)</f>
        <v>9.01930894308943</v>
      </c>
      <c r="Z17" s="368" t="n">
        <f aca="false">MIN(Z6:Z15)</f>
        <v>1.9</v>
      </c>
      <c r="AA17" s="368" t="n">
        <f aca="false">MIN(AA6:AA15)</f>
        <v>8.53365384615385</v>
      </c>
    </row>
    <row r="18" customFormat="false" ht="12.75" hidden="false" customHeight="false" outlineLevel="0" collapsed="false">
      <c r="A18" s="359"/>
      <c r="B18" s="359"/>
      <c r="C18" s="367"/>
      <c r="D18" s="359"/>
      <c r="E18" s="359"/>
      <c r="F18" s="359"/>
      <c r="G18" s="359"/>
      <c r="H18" s="359"/>
      <c r="I18" s="359"/>
      <c r="J18" s="324"/>
      <c r="K18" s="359"/>
      <c r="L18" s="359"/>
      <c r="M18" s="359"/>
      <c r="N18" s="359"/>
      <c r="O18" s="359" t="s">
        <v>551</v>
      </c>
      <c r="P18" s="368" t="n">
        <f aca="false">MAX(P6:P15)</f>
        <v>10.0890614596927</v>
      </c>
      <c r="Q18" s="324"/>
      <c r="R18" s="368" t="n">
        <f aca="false">MAX(R6:R15)</f>
        <v>1.45731085962848</v>
      </c>
      <c r="S18" s="369"/>
      <c r="T18" s="324"/>
      <c r="U18" s="359" t="s">
        <v>551</v>
      </c>
      <c r="V18" s="368" t="n">
        <f aca="false">MAX(V6:V15)</f>
        <v>9.27034230502901</v>
      </c>
      <c r="W18" s="368" t="n">
        <f aca="false">MAX(W6:W15)</f>
        <v>9.10002985223153</v>
      </c>
      <c r="X18" s="368" t="n">
        <f aca="false">MAX(X6:X15)</f>
        <v>3.2</v>
      </c>
      <c r="Y18" s="368" t="n">
        <f aca="false">MAX(Y6:Y15)</f>
        <v>36.2068965517241</v>
      </c>
      <c r="Z18" s="368" t="n">
        <f aca="false">MAX(Z6:Z15)</f>
        <v>3.43</v>
      </c>
      <c r="AA18" s="368" t="n">
        <f aca="false">MAX(AA6:AA15)</f>
        <v>21.2121212121212</v>
      </c>
    </row>
    <row r="19" customFormat="false" ht="12.75" hidden="false" customHeight="false" outlineLevel="0" collapsed="false">
      <c r="A19" s="359"/>
      <c r="B19" s="359"/>
      <c r="C19" s="367"/>
      <c r="D19" s="359"/>
      <c r="E19" s="359"/>
      <c r="F19" s="359"/>
      <c r="G19" s="359"/>
      <c r="H19" s="359"/>
      <c r="I19" s="359"/>
      <c r="K19" s="359"/>
      <c r="L19" s="359"/>
      <c r="M19" s="359"/>
      <c r="N19" s="359"/>
      <c r="O19" s="359"/>
      <c r="S19" s="373"/>
      <c r="U19" s="359"/>
    </row>
    <row r="20" customFormat="false" ht="12.75" hidden="false" customHeight="false" outlineLevel="0" collapsed="false">
      <c r="A20" s="359"/>
      <c r="B20" s="359"/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 t="s">
        <v>552</v>
      </c>
      <c r="P20" s="374" t="n">
        <f aca="false">AVERAGE(P6:P15)</f>
        <v>7.17540053700201</v>
      </c>
      <c r="Q20" s="374"/>
      <c r="R20" s="374" t="n">
        <f aca="false">AVERAGE(R6:R15)</f>
        <v>1.19097224528353</v>
      </c>
      <c r="S20" s="375"/>
      <c r="T20" s="374"/>
      <c r="U20" s="359" t="s">
        <v>552</v>
      </c>
      <c r="V20" s="374" t="n">
        <f aca="false">AVERAGE(V6:V15)</f>
        <v>6.69366106445597</v>
      </c>
      <c r="W20" s="374" t="n">
        <f aca="false">AVERAGE(W6:W15)</f>
        <v>6.23427675600425</v>
      </c>
      <c r="X20" s="374" t="n">
        <f aca="false">AVERAGE(X6:X15)</f>
        <v>2.294</v>
      </c>
      <c r="Y20" s="374" t="n">
        <f aca="false">AVERAGE(Y6:Y15)</f>
        <v>13.608032433171</v>
      </c>
      <c r="Z20" s="374" t="n">
        <f aca="false">AVERAGE(Z6:Z15)</f>
        <v>2.553</v>
      </c>
      <c r="AA20" s="374" t="n">
        <f aca="false">AVERAGE(AA6:AA15)</f>
        <v>11.3288285682259</v>
      </c>
    </row>
    <row r="21" customFormat="false" ht="12.75" hidden="false" customHeight="false" outlineLevel="0" collapsed="false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 t="s">
        <v>553</v>
      </c>
      <c r="P21" s="368" t="n">
        <f aca="false">MEDIAN(P6:P15)</f>
        <v>7.14222072581798</v>
      </c>
      <c r="Q21" s="368"/>
      <c r="R21" s="368" t="n">
        <f aca="false">MEDIAN(R6:R15)</f>
        <v>1.22971283035821</v>
      </c>
      <c r="S21" s="373"/>
      <c r="T21" s="368"/>
      <c r="U21" s="359" t="s">
        <v>553</v>
      </c>
      <c r="V21" s="368" t="n">
        <f aca="false">MEDIAN(V6:V15)</f>
        <v>6.45674468394967</v>
      </c>
      <c r="W21" s="368" t="n">
        <f aca="false">MEDIAN(W6:W15)</f>
        <v>5.93971320505871</v>
      </c>
      <c r="X21" s="368" t="n">
        <f aca="false">MEDIAN(X6:X15)</f>
        <v>2.245</v>
      </c>
      <c r="Y21" s="368" t="n">
        <f aca="false">MEDIAN(Y6:Y15)</f>
        <v>11.3309638139124</v>
      </c>
      <c r="Z21" s="368" t="n">
        <f aca="false">MEDIAN(Z6:Z15)</f>
        <v>2.4</v>
      </c>
      <c r="AA21" s="368" t="n">
        <f aca="false">MEDIAN(AA6:AA15)</f>
        <v>10.5654163314562</v>
      </c>
    </row>
    <row r="22" customFormat="false" ht="12.75" hidden="false" customHeight="false" outlineLevel="0" collapsed="false">
      <c r="J22" s="359"/>
      <c r="K22" s="368"/>
      <c r="L22" s="368"/>
      <c r="M22" s="368"/>
    </row>
    <row r="24" customFormat="false" ht="12.75" hidden="false" customHeight="false" outlineLevel="0" collapsed="false">
      <c r="A24" s="0" t="s">
        <v>554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376" t="s">
        <v>555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customFormat="false" ht="18" hidden="false" customHeight="false" outlineLevel="0" collapsed="false">
      <c r="A2" s="376"/>
      <c r="B2" s="378" t="s">
        <v>556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</row>
    <row r="3" customFormat="false" ht="15" hidden="false" customHeight="false" outlineLevel="0" collapsed="false">
      <c r="A3" s="377"/>
      <c r="B3" s="379" t="s">
        <v>557</v>
      </c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</row>
    <row r="4" customFormat="false" ht="15" hidden="false" customHeight="false" outlineLevel="0" collapsed="false">
      <c r="A4" s="377"/>
      <c r="B4" s="379" t="s">
        <v>558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</row>
    <row r="5" customFormat="false" ht="15" hidden="false" customHeight="false" outlineLevel="0" collapsed="false">
      <c r="A5" s="377"/>
      <c r="B5" s="379" t="s">
        <v>559</v>
      </c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</row>
    <row r="6" customFormat="false" ht="15" hidden="false" customHeight="false" outlineLevel="0" collapsed="false">
      <c r="A6" s="377"/>
      <c r="B6" s="379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</row>
    <row r="7" customFormat="false" ht="12.75" hidden="false" customHeight="false" outlineLevel="0" collapsed="false">
      <c r="B7" s="378" t="s">
        <v>560</v>
      </c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</row>
    <row r="8" customFormat="false" ht="15" hidden="false" customHeight="false" outlineLevel="0" collapsed="false">
      <c r="A8" s="377"/>
      <c r="B8" s="379" t="s">
        <v>561</v>
      </c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</row>
    <row r="9" customFormat="false" ht="15" hidden="false" customHeight="false" outlineLevel="0" collapsed="false">
      <c r="A9" s="377"/>
      <c r="B9" s="379" t="s">
        <v>562</v>
      </c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</row>
    <row r="10" customFormat="false" ht="15" hidden="false" customHeight="false" outlineLevel="0" collapsed="false">
      <c r="A10" s="377"/>
      <c r="B10" s="379" t="s">
        <v>563</v>
      </c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</row>
    <row r="11" customFormat="false" ht="15" hidden="false" customHeight="false" outlineLevel="0" collapsed="false">
      <c r="A11" s="377"/>
      <c r="B11" s="379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</row>
    <row r="12" customFormat="false" ht="15" hidden="false" customHeight="false" outlineLevel="0" collapsed="false">
      <c r="A12" s="377"/>
      <c r="B12" s="379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  <row r="13" customFormat="false" ht="12.75" hidden="false" customHeight="false" outlineLevel="0" collapsed="false">
      <c r="A13" s="377"/>
      <c r="B13" s="377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</row>
    <row r="14" customFormat="false" ht="12.75" hidden="false" customHeight="false" outlineLevel="0" collapsed="false">
      <c r="A14" s="377"/>
      <c r="B14" s="377"/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7"/>
      <c r="N14" s="377"/>
    </row>
    <row r="15" customFormat="false" ht="12.75" hidden="false" customHeight="false" outlineLevel="0" collapsed="false">
      <c r="A15" s="377"/>
      <c r="B15" s="377"/>
      <c r="C15" s="377"/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377"/>
    </row>
    <row r="16" customFormat="false" ht="12.75" hidden="false" customHeight="false" outlineLevel="0" collapsed="false">
      <c r="A16" s="377"/>
      <c r="B16" s="377"/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</row>
    <row r="17" customFormat="false" ht="12.75" hidden="false" customHeight="false" outlineLevel="0" collapsed="false">
      <c r="A17" s="377"/>
      <c r="B17" s="377"/>
      <c r="C17" s="377"/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377"/>
    </row>
    <row r="18" customFormat="false" ht="12.75" hidden="false" customHeight="false" outlineLevel="0" collapsed="false">
      <c r="A18" s="377"/>
      <c r="B18" s="377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</row>
    <row r="19" customFormat="false" ht="12.75" hidden="false" customHeight="false" outlineLevel="0" collapsed="false">
      <c r="A19" s="377"/>
      <c r="B19" s="377"/>
      <c r="C19" s="377"/>
      <c r="D19" s="377"/>
      <c r="E19" s="377"/>
      <c r="F19" s="377"/>
      <c r="G19" s="377"/>
      <c r="H19" s="377"/>
      <c r="I19" s="377"/>
      <c r="J19" s="377"/>
      <c r="K19" s="377"/>
      <c r="L19" s="377"/>
      <c r="M19" s="377"/>
      <c r="N19" s="377"/>
    </row>
    <row r="20" customFormat="false" ht="12.75" hidden="false" customHeight="false" outlineLevel="0" collapsed="false">
      <c r="A20" s="377"/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</row>
  </sheetData>
  <printOptions headings="false" gridLines="false" gridLinesSet="true" horizontalCentered="false" verticalCentered="false"/>
  <pageMargins left="0.747916666666667" right="0.747916666666667" top="0.5" bottom="0.75" header="0.511811023622047" footer="0.5"/>
  <pageSetup paperSize="1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" manualBreakCount="1">
    <brk id="20" man="true" max="16383" min="0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2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H20" activeCellId="0" sqref="H2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3" width="9.14"/>
    <col collapsed="false" customWidth="true" hidden="false" outlineLevel="0" max="3" min="3" style="3" width="11.85"/>
    <col collapsed="false" customWidth="false" hidden="false" outlineLevel="0" max="9" min="4" style="3" width="9.14"/>
    <col collapsed="false" customWidth="true" hidden="false" outlineLevel="0" max="10" min="10" style="3" width="13.99"/>
    <col collapsed="false" customWidth="false" hidden="false" outlineLevel="0" max="257" min="11" style="3" width="9.14"/>
  </cols>
  <sheetData>
    <row r="2" customFormat="false" ht="18.75" hidden="false" customHeight="false" outlineLevel="0" collapsed="false">
      <c r="A2" s="69" t="s">
        <v>564</v>
      </c>
    </row>
    <row r="3" customFormat="false" ht="15.75" hidden="false" customHeight="false" outlineLevel="0" collapsed="false">
      <c r="B3" s="271"/>
      <c r="C3" s="271"/>
      <c r="E3" s="380"/>
      <c r="H3" s="380" t="s">
        <v>565</v>
      </c>
      <c r="J3" s="380" t="s">
        <v>566</v>
      </c>
    </row>
    <row r="4" customFormat="false" ht="15.75" hidden="false" customHeight="false" outlineLevel="0" collapsed="false">
      <c r="A4" s="271"/>
      <c r="B4" s="271"/>
      <c r="C4" s="271"/>
      <c r="E4" s="380"/>
      <c r="H4" s="381" t="s">
        <v>567</v>
      </c>
      <c r="J4" s="381" t="s">
        <v>568</v>
      </c>
    </row>
    <row r="5" customFormat="false" ht="15.75" hidden="false" customHeight="false" outlineLevel="0" collapsed="false">
      <c r="A5" s="270" t="s">
        <v>569</v>
      </c>
      <c r="B5" s="271"/>
      <c r="C5" s="271"/>
      <c r="E5" s="382"/>
      <c r="H5" s="382"/>
      <c r="J5" s="382"/>
    </row>
    <row r="6" customFormat="false" ht="15.75" hidden="false" customHeight="false" outlineLevel="0" collapsed="false">
      <c r="A6" s="271"/>
      <c r="B6" s="271" t="s">
        <v>570</v>
      </c>
      <c r="C6" s="271"/>
      <c r="E6" s="382"/>
      <c r="H6" s="382" t="s">
        <v>186</v>
      </c>
      <c r="J6" s="383" t="n">
        <v>243</v>
      </c>
    </row>
    <row r="7" customFormat="false" ht="15.75" hidden="false" customHeight="false" outlineLevel="0" collapsed="false">
      <c r="A7" s="271"/>
      <c r="B7" s="379" t="s">
        <v>571</v>
      </c>
      <c r="C7" s="379"/>
      <c r="H7" s="384" t="s">
        <v>186</v>
      </c>
      <c r="I7" s="379"/>
      <c r="J7" s="385" t="n">
        <v>160</v>
      </c>
    </row>
    <row r="8" customFormat="false" ht="17.25" hidden="false" customHeight="false" outlineLevel="0" collapsed="false">
      <c r="A8" s="271"/>
      <c r="B8" s="379" t="s">
        <v>572</v>
      </c>
      <c r="C8" s="379"/>
      <c r="H8" s="384" t="s">
        <v>186</v>
      </c>
      <c r="I8" s="379"/>
      <c r="J8" s="386" t="n">
        <v>90</v>
      </c>
    </row>
    <row r="9" customFormat="false" ht="15.75" hidden="false" customHeight="false" outlineLevel="0" collapsed="false">
      <c r="A9" s="271"/>
      <c r="B9" s="379"/>
      <c r="C9" s="379"/>
      <c r="H9" s="384"/>
      <c r="I9" s="379"/>
      <c r="J9" s="385" t="n">
        <f aca="false">+SUM(J6:J8)</f>
        <v>493</v>
      </c>
    </row>
    <row r="10" customFormat="false" ht="15.75" hidden="false" customHeight="false" outlineLevel="0" collapsed="false">
      <c r="A10" s="270" t="s">
        <v>573</v>
      </c>
      <c r="B10" s="271"/>
      <c r="C10" s="271"/>
      <c r="E10" s="271"/>
      <c r="H10" s="382"/>
      <c r="J10" s="387"/>
    </row>
    <row r="11" customFormat="false" ht="15.75" hidden="false" customHeight="false" outlineLevel="0" collapsed="false">
      <c r="A11" s="271"/>
      <c r="B11" s="271" t="s">
        <v>574</v>
      </c>
      <c r="C11" s="271"/>
      <c r="E11" s="382"/>
      <c r="H11" s="382" t="s">
        <v>575</v>
      </c>
      <c r="J11" s="383" t="n">
        <v>172</v>
      </c>
    </row>
    <row r="12" customFormat="false" ht="15.75" hidden="false" customHeight="false" outlineLevel="0" collapsed="false">
      <c r="A12" s="271"/>
      <c r="B12" s="271" t="s">
        <v>576</v>
      </c>
      <c r="C12" s="271"/>
      <c r="E12" s="382"/>
      <c r="H12" s="382" t="s">
        <v>575</v>
      </c>
      <c r="J12" s="383" t="n">
        <v>564</v>
      </c>
    </row>
    <row r="13" customFormat="false" ht="15.75" hidden="false" customHeight="false" outlineLevel="0" collapsed="false">
      <c r="A13" s="271"/>
      <c r="B13" s="271" t="s">
        <v>577</v>
      </c>
      <c r="C13" s="271"/>
      <c r="E13" s="382"/>
      <c r="H13" s="382" t="s">
        <v>578</v>
      </c>
      <c r="J13" s="383" t="n">
        <v>78</v>
      </c>
    </row>
    <row r="14" customFormat="false" ht="15.75" hidden="false" customHeight="false" outlineLevel="0" collapsed="false">
      <c r="A14" s="271"/>
      <c r="B14" s="271" t="s">
        <v>579</v>
      </c>
      <c r="C14" s="271"/>
      <c r="E14" s="382"/>
      <c r="H14" s="382" t="s">
        <v>578</v>
      </c>
      <c r="J14" s="383" t="n">
        <v>245</v>
      </c>
    </row>
    <row r="15" customFormat="false" ht="15.75" hidden="false" customHeight="false" outlineLevel="0" collapsed="false">
      <c r="A15" s="271"/>
      <c r="B15" s="379" t="s">
        <v>580</v>
      </c>
      <c r="C15" s="379"/>
      <c r="H15" s="384" t="s">
        <v>575</v>
      </c>
      <c r="I15" s="384"/>
      <c r="J15" s="388" t="n">
        <v>120</v>
      </c>
    </row>
    <row r="16" customFormat="false" ht="15.75" hidden="false" customHeight="false" outlineLevel="0" collapsed="false">
      <c r="A16" s="271"/>
      <c r="B16" s="379" t="s">
        <v>581</v>
      </c>
      <c r="C16" s="379"/>
      <c r="H16" s="384" t="s">
        <v>578</v>
      </c>
      <c r="I16" s="384"/>
      <c r="J16" s="388" t="n">
        <v>11</v>
      </c>
    </row>
    <row r="17" customFormat="false" ht="15.75" hidden="false" customHeight="false" outlineLevel="0" collapsed="false">
      <c r="A17" s="271"/>
      <c r="B17" s="379" t="s">
        <v>582</v>
      </c>
      <c r="C17" s="379"/>
      <c r="H17" s="384" t="s">
        <v>578</v>
      </c>
      <c r="I17" s="384"/>
      <c r="J17" s="388" t="n">
        <v>98</v>
      </c>
    </row>
    <row r="18" customFormat="false" ht="15.75" hidden="false" customHeight="false" outlineLevel="0" collapsed="false">
      <c r="A18" s="271"/>
      <c r="B18" s="379" t="s">
        <v>583</v>
      </c>
      <c r="C18" s="379"/>
      <c r="H18" s="384" t="s">
        <v>578</v>
      </c>
      <c r="I18" s="384"/>
      <c r="J18" s="388" t="n">
        <v>104</v>
      </c>
    </row>
    <row r="19" customFormat="false" ht="15.75" hidden="false" customHeight="false" outlineLevel="0" collapsed="false">
      <c r="A19" s="271"/>
      <c r="B19" s="379" t="s">
        <v>584</v>
      </c>
      <c r="C19" s="379"/>
      <c r="H19" s="384" t="s">
        <v>578</v>
      </c>
      <c r="I19" s="384"/>
      <c r="J19" s="389" t="n">
        <v>8</v>
      </c>
    </row>
    <row r="20" customFormat="false" ht="15.75" hidden="false" customHeight="false" outlineLevel="0" collapsed="false">
      <c r="A20" s="271"/>
      <c r="B20" s="271"/>
      <c r="C20" s="271"/>
      <c r="E20" s="382"/>
      <c r="H20" s="382"/>
      <c r="J20" s="383" t="n">
        <f aca="false">+SUM(J11:J19)</f>
        <v>1400</v>
      </c>
    </row>
    <row r="21" customFormat="false" ht="15.75" hidden="false" customHeight="false" outlineLevel="0" collapsed="false">
      <c r="A21" s="271"/>
      <c r="B21" s="271"/>
      <c r="C21" s="271"/>
      <c r="E21" s="382"/>
      <c r="H21" s="382"/>
      <c r="J21" s="383"/>
    </row>
    <row r="22" customFormat="false" ht="15.75" hidden="false" customHeight="false" outlineLevel="0" collapsed="false">
      <c r="A22" s="271"/>
      <c r="B22" s="271"/>
      <c r="C22" s="271"/>
      <c r="E22" s="382"/>
      <c r="H22" s="382"/>
      <c r="J22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3"/>
  <sheetViews>
    <sheetView showFormulas="false" showGridLines="fals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M28" activeCellId="0" sqref="M28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90" width="3.7"/>
    <col collapsed="false" customWidth="true" hidden="false" outlineLevel="0" max="2" min="2" style="390" width="40.42"/>
    <col collapsed="false" customWidth="true" hidden="false" outlineLevel="0" max="3" min="3" style="390" width="14.99"/>
    <col collapsed="false" customWidth="false" hidden="false" outlineLevel="0" max="4" min="4" style="390" width="9.14"/>
    <col collapsed="false" customWidth="true" hidden="false" outlineLevel="0" max="5" min="5" style="390" width="3.85"/>
    <col collapsed="false" customWidth="true" hidden="false" outlineLevel="0" max="6" min="6" style="390" width="8.56"/>
    <col collapsed="false" customWidth="true" hidden="false" outlineLevel="0" max="7" min="7" style="390" width="8.99"/>
    <col collapsed="false" customWidth="true" hidden="false" outlineLevel="0" max="8" min="8" style="390" width="31.56"/>
    <col collapsed="false" customWidth="true" hidden="false" outlineLevel="0" max="9" min="9" style="390" width="42.28"/>
    <col collapsed="false" customWidth="true" hidden="false" outlineLevel="0" max="10" min="10" style="390" width="11.42"/>
    <col collapsed="false" customWidth="true" hidden="false" outlineLevel="0" max="11" min="11" style="390" width="10.85"/>
    <col collapsed="false" customWidth="true" hidden="false" outlineLevel="0" max="12" min="12" style="390" width="4.56"/>
    <col collapsed="false" customWidth="true" hidden="false" outlineLevel="0" max="13" min="13" style="390" width="12.14"/>
    <col collapsed="false" customWidth="false" hidden="false" outlineLevel="0" max="14" min="14" style="390" width="9.14"/>
    <col collapsed="false" customWidth="true" hidden="false" outlineLevel="0" max="15" min="15" style="390" width="9.99"/>
    <col collapsed="false" customWidth="false" hidden="false" outlineLevel="0" max="257" min="16" style="390" width="9.14"/>
  </cols>
  <sheetData>
    <row r="1" customFormat="false" ht="15" hidden="false" customHeight="false" outlineLevel="0" collapsed="false">
      <c r="E1" s="391"/>
    </row>
    <row r="2" customFormat="false" ht="18" hidden="false" customHeight="false" outlineLevel="0" collapsed="false">
      <c r="A2" s="376" t="s">
        <v>585</v>
      </c>
      <c r="B2" s="379"/>
      <c r="C2" s="379"/>
      <c r="D2" s="379"/>
      <c r="E2" s="384"/>
      <c r="F2" s="379"/>
      <c r="G2" s="379"/>
      <c r="H2" s="379"/>
      <c r="I2" s="379"/>
      <c r="J2" s="379"/>
      <c r="K2" s="379"/>
      <c r="L2" s="379"/>
      <c r="M2" s="379"/>
      <c r="N2" s="379"/>
    </row>
    <row r="3" customFormat="false" ht="15.75" hidden="false" customHeight="false" outlineLevel="0" collapsed="false">
      <c r="A3" s="392"/>
      <c r="B3" s="379"/>
      <c r="C3" s="379"/>
      <c r="D3" s="379"/>
      <c r="E3" s="384"/>
      <c r="F3" s="379"/>
      <c r="G3" s="379"/>
      <c r="H3" s="379"/>
      <c r="I3" s="379"/>
      <c r="J3" s="379"/>
      <c r="K3" s="379"/>
      <c r="L3" s="379"/>
      <c r="M3" s="379"/>
      <c r="N3" s="379"/>
    </row>
    <row r="4" customFormat="false" ht="15.75" hidden="false" customHeight="false" outlineLevel="0" collapsed="false">
      <c r="A4" s="393" t="s">
        <v>586</v>
      </c>
      <c r="B4" s="379"/>
      <c r="C4" s="379"/>
      <c r="D4" s="394" t="s">
        <v>565</v>
      </c>
      <c r="E4" s="394"/>
      <c r="F4" s="394" t="s">
        <v>566</v>
      </c>
      <c r="G4" s="392" t="s">
        <v>567</v>
      </c>
      <c r="H4" s="393" t="s">
        <v>587</v>
      </c>
      <c r="I4" s="379"/>
      <c r="J4" s="379"/>
      <c r="K4" s="394" t="s">
        <v>565</v>
      </c>
      <c r="L4" s="394"/>
      <c r="M4" s="394" t="s">
        <v>566</v>
      </c>
      <c r="N4" s="379" t="s">
        <v>567</v>
      </c>
    </row>
    <row r="5" customFormat="false" ht="15.75" hidden="false" customHeight="false" outlineLevel="0" collapsed="false">
      <c r="A5" s="379"/>
      <c r="B5" s="379"/>
      <c r="C5" s="379"/>
      <c r="D5" s="395" t="s">
        <v>567</v>
      </c>
      <c r="E5" s="394"/>
      <c r="F5" s="395" t="s">
        <v>568</v>
      </c>
      <c r="G5" s="379"/>
      <c r="H5" s="379"/>
      <c r="I5" s="379"/>
      <c r="J5" s="379"/>
      <c r="K5" s="395" t="s">
        <v>567</v>
      </c>
      <c r="L5" s="394"/>
      <c r="M5" s="395" t="s">
        <v>568</v>
      </c>
      <c r="N5" s="379"/>
    </row>
    <row r="6" customFormat="false" ht="15.75" hidden="false" customHeight="false" outlineLevel="0" collapsed="false">
      <c r="A6" s="392" t="s">
        <v>569</v>
      </c>
      <c r="B6" s="379"/>
      <c r="C6" s="379"/>
      <c r="D6" s="384"/>
      <c r="E6" s="384"/>
      <c r="F6" s="384"/>
      <c r="G6" s="379"/>
      <c r="H6" s="392" t="s">
        <v>569</v>
      </c>
      <c r="I6" s="379"/>
      <c r="J6" s="379"/>
      <c r="K6" s="384"/>
      <c r="L6" s="379"/>
      <c r="M6" s="388"/>
      <c r="N6" s="379"/>
    </row>
    <row r="7" customFormat="false" ht="15" hidden="false" customHeight="false" outlineLevel="0" collapsed="false">
      <c r="A7" s="379"/>
      <c r="B7" s="379" t="s">
        <v>570</v>
      </c>
      <c r="C7" s="379"/>
      <c r="D7" s="384" t="s">
        <v>186</v>
      </c>
      <c r="E7" s="384"/>
      <c r="F7" s="385" t="n">
        <v>243</v>
      </c>
      <c r="G7" s="379" t="s">
        <v>588</v>
      </c>
      <c r="H7" s="379"/>
      <c r="I7" s="379" t="s">
        <v>589</v>
      </c>
      <c r="J7" s="379"/>
      <c r="K7" s="384" t="s">
        <v>186</v>
      </c>
      <c r="L7" s="379"/>
      <c r="M7" s="385" t="n">
        <v>1005</v>
      </c>
      <c r="N7" s="379" t="s">
        <v>590</v>
      </c>
    </row>
    <row r="8" customFormat="false" ht="17.25" hidden="false" customHeight="false" outlineLevel="0" collapsed="false">
      <c r="A8" s="379"/>
      <c r="B8" s="379" t="s">
        <v>591</v>
      </c>
      <c r="C8" s="379"/>
      <c r="D8" s="384" t="s">
        <v>186</v>
      </c>
      <c r="E8" s="384"/>
      <c r="F8" s="386" t="n">
        <v>704</v>
      </c>
      <c r="G8" s="379" t="s">
        <v>590</v>
      </c>
      <c r="H8" s="379"/>
      <c r="I8" s="379" t="s">
        <v>571</v>
      </c>
      <c r="J8" s="379"/>
      <c r="K8" s="384" t="s">
        <v>186</v>
      </c>
      <c r="L8" s="379"/>
      <c r="M8" s="396" t="n">
        <v>160</v>
      </c>
      <c r="N8" s="379" t="s">
        <v>588</v>
      </c>
    </row>
    <row r="9" customFormat="false" ht="15" hidden="false" customHeight="false" outlineLevel="0" collapsed="false">
      <c r="A9" s="379"/>
      <c r="B9" s="379"/>
      <c r="C9" s="379"/>
      <c r="D9" s="384"/>
      <c r="E9" s="379"/>
      <c r="F9" s="397" t="n">
        <f aca="false">F7+F8</f>
        <v>947</v>
      </c>
      <c r="G9" s="379"/>
      <c r="H9" s="379"/>
      <c r="I9" s="379" t="s">
        <v>592</v>
      </c>
      <c r="J9" s="379"/>
      <c r="K9" s="384" t="s">
        <v>186</v>
      </c>
      <c r="L9" s="379"/>
      <c r="M9" s="385" t="n">
        <v>2532</v>
      </c>
      <c r="N9" s="379" t="s">
        <v>590</v>
      </c>
    </row>
    <row r="10" customFormat="false" ht="15.75" hidden="false" customHeight="false" outlineLevel="0" collapsed="false">
      <c r="A10" s="392" t="s">
        <v>573</v>
      </c>
      <c r="B10" s="379"/>
      <c r="C10" s="379"/>
      <c r="D10" s="384"/>
      <c r="E10" s="379"/>
      <c r="F10" s="388"/>
      <c r="G10" s="379"/>
      <c r="H10" s="379"/>
      <c r="I10" s="379" t="s">
        <v>572</v>
      </c>
      <c r="J10" s="379"/>
      <c r="K10" s="384" t="s">
        <v>186</v>
      </c>
      <c r="L10" s="379"/>
      <c r="M10" s="385" t="n">
        <v>90</v>
      </c>
      <c r="N10" s="379" t="s">
        <v>588</v>
      </c>
    </row>
    <row r="11" customFormat="false" ht="15.75" hidden="false" customHeight="false" outlineLevel="0" collapsed="false">
      <c r="A11" s="379"/>
      <c r="B11" s="379" t="s">
        <v>574</v>
      </c>
      <c r="C11" s="379"/>
      <c r="D11" s="384" t="s">
        <v>575</v>
      </c>
      <c r="E11" s="384"/>
      <c r="F11" s="396" t="n">
        <v>105</v>
      </c>
      <c r="G11" s="379" t="s">
        <v>593</v>
      </c>
      <c r="H11" s="379"/>
      <c r="I11" s="379" t="s">
        <v>594</v>
      </c>
      <c r="J11" s="379"/>
      <c r="K11" s="384" t="s">
        <v>186</v>
      </c>
      <c r="L11" s="379"/>
      <c r="M11" s="385" t="n">
        <v>560</v>
      </c>
      <c r="N11" s="379" t="s">
        <v>590</v>
      </c>
    </row>
    <row r="12" customFormat="false" ht="15.75" hidden="false" customHeight="false" outlineLevel="0" collapsed="false">
      <c r="A12" s="379"/>
      <c r="B12" s="379" t="s">
        <v>576</v>
      </c>
      <c r="C12" s="379"/>
      <c r="D12" s="384" t="s">
        <v>575</v>
      </c>
      <c r="E12" s="384"/>
      <c r="F12" s="396" t="n">
        <v>564</v>
      </c>
      <c r="G12" s="379" t="s">
        <v>593</v>
      </c>
      <c r="H12" s="379"/>
      <c r="I12" s="379" t="s">
        <v>595</v>
      </c>
      <c r="J12" s="379"/>
      <c r="K12" s="384" t="s">
        <v>186</v>
      </c>
      <c r="L12" s="379"/>
      <c r="M12" s="385" t="n">
        <v>262</v>
      </c>
      <c r="N12" s="379" t="s">
        <v>590</v>
      </c>
    </row>
    <row r="13" customFormat="false" ht="15.75" hidden="false" customHeight="false" outlineLevel="0" collapsed="false">
      <c r="A13" s="379"/>
      <c r="B13" s="379" t="s">
        <v>577</v>
      </c>
      <c r="C13" s="379"/>
      <c r="D13" s="384" t="s">
        <v>578</v>
      </c>
      <c r="E13" s="384"/>
      <c r="F13" s="396" t="n">
        <v>122</v>
      </c>
      <c r="G13" s="379" t="s">
        <v>593</v>
      </c>
      <c r="H13" s="379"/>
      <c r="I13" s="379" t="s">
        <v>596</v>
      </c>
      <c r="J13" s="379"/>
      <c r="K13" s="384" t="s">
        <v>186</v>
      </c>
      <c r="L13" s="379"/>
      <c r="M13" s="386" t="n">
        <v>668</v>
      </c>
      <c r="N13" s="379" t="s">
        <v>590</v>
      </c>
    </row>
    <row r="14" customFormat="false" ht="20.25" hidden="false" customHeight="false" outlineLevel="0" collapsed="false">
      <c r="A14" s="379"/>
      <c r="B14" s="379" t="s">
        <v>579</v>
      </c>
      <c r="C14" s="379"/>
      <c r="D14" s="384" t="s">
        <v>578</v>
      </c>
      <c r="E14" s="384"/>
      <c r="F14" s="398" t="n">
        <v>245</v>
      </c>
      <c r="G14" s="379" t="s">
        <v>593</v>
      </c>
      <c r="H14" s="379"/>
      <c r="I14" s="379"/>
      <c r="J14" s="379"/>
      <c r="K14" s="384"/>
      <c r="L14" s="379"/>
      <c r="M14" s="388" t="n">
        <f aca="false">SUM(M7:M13)</f>
        <v>5277</v>
      </c>
      <c r="N14" s="379"/>
    </row>
    <row r="15" customFormat="false" ht="15.75" hidden="false" customHeight="false" outlineLevel="0" collapsed="false">
      <c r="A15" s="379"/>
      <c r="B15" s="379"/>
      <c r="C15" s="379"/>
      <c r="D15" s="384"/>
      <c r="E15" s="384"/>
      <c r="F15" s="385" t="n">
        <f aca="false">SUM(F11:F14)</f>
        <v>1036</v>
      </c>
      <c r="G15" s="379"/>
      <c r="H15" s="392" t="s">
        <v>573</v>
      </c>
      <c r="I15" s="379"/>
      <c r="J15" s="379"/>
      <c r="K15" s="384"/>
      <c r="L15" s="384"/>
      <c r="M15" s="385"/>
      <c r="N15" s="379"/>
    </row>
    <row r="16" customFormat="false" ht="15.75" hidden="false" customHeight="false" outlineLevel="0" collapsed="false">
      <c r="A16" s="392" t="s">
        <v>597</v>
      </c>
      <c r="B16" s="379"/>
      <c r="C16" s="399" t="s">
        <v>598</v>
      </c>
      <c r="D16" s="379"/>
      <c r="E16" s="379"/>
      <c r="F16" s="379"/>
      <c r="G16" s="379"/>
      <c r="H16" s="379"/>
      <c r="I16" s="379" t="s">
        <v>580</v>
      </c>
      <c r="J16" s="379"/>
      <c r="K16" s="384" t="s">
        <v>575</v>
      </c>
      <c r="L16" s="384"/>
      <c r="M16" s="400" t="n">
        <v>120</v>
      </c>
      <c r="N16" s="379" t="s">
        <v>593</v>
      </c>
    </row>
    <row r="17" customFormat="false" ht="15.75" hidden="false" customHeight="false" outlineLevel="0" collapsed="false">
      <c r="A17" s="379"/>
      <c r="B17" s="379" t="s">
        <v>599</v>
      </c>
      <c r="C17" s="401" t="n">
        <v>0.4</v>
      </c>
      <c r="D17" s="384" t="s">
        <v>186</v>
      </c>
      <c r="E17" s="379"/>
      <c r="F17" s="385" t="n">
        <v>312</v>
      </c>
      <c r="G17" s="379" t="s">
        <v>590</v>
      </c>
      <c r="H17" s="379"/>
      <c r="I17" s="379" t="s">
        <v>581</v>
      </c>
      <c r="J17" s="379"/>
      <c r="K17" s="384" t="s">
        <v>578</v>
      </c>
      <c r="L17" s="384"/>
      <c r="M17" s="400" t="n">
        <v>11</v>
      </c>
      <c r="N17" s="379" t="s">
        <v>593</v>
      </c>
    </row>
    <row r="18" customFormat="false" ht="15.75" hidden="false" customHeight="false" outlineLevel="0" collapsed="false">
      <c r="A18" s="379"/>
      <c r="B18" s="379" t="s">
        <v>600</v>
      </c>
      <c r="C18" s="401" t="n">
        <v>0.69</v>
      </c>
      <c r="D18" s="384" t="s">
        <v>186</v>
      </c>
      <c r="E18" s="379"/>
      <c r="F18" s="385" t="n">
        <v>414</v>
      </c>
      <c r="G18" s="379" t="s">
        <v>590</v>
      </c>
      <c r="H18" s="379"/>
      <c r="I18" s="379" t="s">
        <v>582</v>
      </c>
      <c r="J18" s="379"/>
      <c r="K18" s="384" t="s">
        <v>578</v>
      </c>
      <c r="L18" s="384"/>
      <c r="M18" s="400" t="n">
        <v>98</v>
      </c>
      <c r="N18" s="379" t="s">
        <v>593</v>
      </c>
    </row>
    <row r="19" customFormat="false" ht="15.75" hidden="false" customHeight="false" outlineLevel="0" collapsed="false">
      <c r="A19" s="379"/>
      <c r="B19" s="379" t="s">
        <v>601</v>
      </c>
      <c r="C19" s="401" t="n">
        <v>0.39</v>
      </c>
      <c r="D19" s="384" t="s">
        <v>186</v>
      </c>
      <c r="E19" s="379"/>
      <c r="F19" s="385" t="n">
        <v>913</v>
      </c>
      <c r="G19" s="379" t="s">
        <v>590</v>
      </c>
      <c r="H19" s="379"/>
      <c r="I19" s="379" t="s">
        <v>583</v>
      </c>
      <c r="J19" s="379"/>
      <c r="K19" s="384" t="s">
        <v>578</v>
      </c>
      <c r="L19" s="384"/>
      <c r="M19" s="400" t="n">
        <v>104</v>
      </c>
      <c r="N19" s="379" t="s">
        <v>593</v>
      </c>
    </row>
    <row r="20" customFormat="false" ht="15.75" hidden="false" customHeight="false" outlineLevel="0" collapsed="false">
      <c r="A20" s="379"/>
      <c r="B20" s="379" t="s">
        <v>602</v>
      </c>
      <c r="C20" s="401" t="n">
        <v>0.33</v>
      </c>
      <c r="D20" s="384" t="s">
        <v>186</v>
      </c>
      <c r="E20" s="379"/>
      <c r="F20" s="385" t="n">
        <v>198</v>
      </c>
      <c r="G20" s="379" t="s">
        <v>590</v>
      </c>
      <c r="H20" s="379"/>
      <c r="I20" s="379" t="s">
        <v>584</v>
      </c>
      <c r="J20" s="379"/>
      <c r="K20" s="384" t="s">
        <v>578</v>
      </c>
      <c r="L20" s="384"/>
      <c r="M20" s="402" t="n">
        <v>8</v>
      </c>
      <c r="N20" s="379" t="s">
        <v>593</v>
      </c>
    </row>
    <row r="21" customFormat="false" ht="15" hidden="false" customHeight="false" outlineLevel="0" collapsed="false">
      <c r="A21" s="379"/>
      <c r="B21" s="379" t="s">
        <v>603</v>
      </c>
      <c r="C21" s="401" t="n">
        <v>0.64</v>
      </c>
      <c r="D21" s="384" t="s">
        <v>186</v>
      </c>
      <c r="E21" s="379"/>
      <c r="F21" s="385" t="n">
        <v>640</v>
      </c>
      <c r="G21" s="379" t="s">
        <v>590</v>
      </c>
      <c r="H21" s="379"/>
      <c r="I21" s="379"/>
      <c r="J21" s="379"/>
      <c r="K21" s="384"/>
      <c r="L21" s="384"/>
      <c r="M21" s="388" t="n">
        <f aca="false">SUM(M16:M20)</f>
        <v>341</v>
      </c>
      <c r="N21" s="379"/>
    </row>
    <row r="22" customFormat="false" ht="15.75" hidden="false" customHeight="false" outlineLevel="0" collapsed="false">
      <c r="A22" s="379"/>
      <c r="B22" s="379" t="s">
        <v>604</v>
      </c>
      <c r="C22" s="401" t="n">
        <v>0.375</v>
      </c>
      <c r="D22" s="384" t="s">
        <v>186</v>
      </c>
      <c r="E22" s="379"/>
      <c r="F22" s="385" t="n">
        <v>158</v>
      </c>
      <c r="G22" s="379" t="s">
        <v>590</v>
      </c>
      <c r="H22" s="392" t="s">
        <v>225</v>
      </c>
      <c r="I22" s="379"/>
      <c r="J22" s="379"/>
      <c r="K22" s="384"/>
      <c r="L22" s="384"/>
      <c r="M22" s="388"/>
      <c r="N22" s="379"/>
    </row>
    <row r="23" customFormat="false" ht="15" hidden="false" customHeight="false" outlineLevel="0" collapsed="false">
      <c r="A23" s="379"/>
      <c r="B23" s="379" t="s">
        <v>605</v>
      </c>
      <c r="C23" s="401" t="n">
        <v>0.465</v>
      </c>
      <c r="D23" s="384" t="s">
        <v>186</v>
      </c>
      <c r="E23" s="379"/>
      <c r="F23" s="385" t="n">
        <v>605</v>
      </c>
      <c r="G23" s="379" t="s">
        <v>590</v>
      </c>
      <c r="H23" s="379"/>
      <c r="I23" s="379" t="s">
        <v>606</v>
      </c>
      <c r="J23" s="379"/>
      <c r="K23" s="384" t="s">
        <v>607</v>
      </c>
      <c r="L23" s="379"/>
      <c r="M23" s="388" t="n">
        <v>45</v>
      </c>
      <c r="N23" s="379" t="s">
        <v>590</v>
      </c>
    </row>
    <row r="24" customFormat="false" ht="15" hidden="false" customHeight="false" outlineLevel="0" collapsed="false">
      <c r="A24" s="379"/>
      <c r="B24" s="379"/>
      <c r="C24" s="379"/>
      <c r="D24" s="379"/>
      <c r="E24" s="379"/>
      <c r="F24" s="379"/>
      <c r="G24" s="379"/>
      <c r="H24" s="379"/>
      <c r="I24" s="379"/>
      <c r="J24" s="379"/>
      <c r="K24" s="384"/>
      <c r="L24" s="384"/>
      <c r="M24" s="384"/>
      <c r="N24" s="379"/>
    </row>
    <row r="25" customFormat="false" ht="15.75" hidden="false" customHeight="false" outlineLevel="0" collapsed="false">
      <c r="A25" s="403"/>
      <c r="B25" s="379"/>
      <c r="G25" s="379"/>
      <c r="H25" s="392" t="s">
        <v>597</v>
      </c>
      <c r="I25" s="379"/>
      <c r="J25" s="404" t="s">
        <v>598</v>
      </c>
      <c r="K25" s="379"/>
      <c r="L25" s="404"/>
      <c r="M25" s="404"/>
    </row>
    <row r="26" customFormat="false" ht="15" hidden="false" customHeight="false" outlineLevel="0" collapsed="false">
      <c r="A26" s="403"/>
      <c r="B26" s="379"/>
      <c r="G26" s="379"/>
      <c r="H26" s="379"/>
      <c r="I26" s="379" t="s">
        <v>608</v>
      </c>
      <c r="J26" s="405" t="n">
        <v>0.5005</v>
      </c>
      <c r="K26" s="384" t="s">
        <v>186</v>
      </c>
      <c r="L26" s="379"/>
      <c r="M26" s="385" t="n">
        <v>313</v>
      </c>
      <c r="N26" s="379" t="s">
        <v>590</v>
      </c>
    </row>
    <row r="27" customFormat="false" ht="15" hidden="false" customHeight="false" outlineLevel="0" collapsed="false">
      <c r="A27" s="379"/>
      <c r="B27" s="379"/>
      <c r="G27" s="379"/>
      <c r="H27" s="379"/>
      <c r="I27" s="379"/>
      <c r="J27" s="379"/>
      <c r="K27" s="379"/>
      <c r="L27" s="379"/>
      <c r="M27" s="379"/>
      <c r="N27" s="379"/>
    </row>
    <row r="28" customFormat="false" ht="15.75" hidden="false" customHeight="false" outlineLevel="0" collapsed="false">
      <c r="A28" s="379"/>
      <c r="B28" s="379"/>
      <c r="C28" s="379"/>
      <c r="D28" s="392"/>
      <c r="E28" s="392"/>
      <c r="F28" s="406"/>
      <c r="G28" s="379"/>
      <c r="H28" s="379"/>
      <c r="I28" s="379"/>
      <c r="J28" s="384" t="s">
        <v>609</v>
      </c>
      <c r="K28" s="384" t="s">
        <v>186</v>
      </c>
      <c r="M28" s="397" t="n">
        <f aca="false">+SUM(F8,F17:F23,M7,M9,M11:M13,M23,M26)</f>
        <v>9329</v>
      </c>
    </row>
    <row r="29" customFormat="false" ht="15.75" hidden="false" customHeight="false" outlineLevel="0" collapsed="false">
      <c r="A29" s="379"/>
      <c r="B29" s="379"/>
      <c r="C29" s="379"/>
      <c r="D29" s="392"/>
      <c r="E29" s="392"/>
      <c r="F29" s="406"/>
      <c r="G29" s="379"/>
      <c r="H29" s="379"/>
      <c r="I29" s="379"/>
      <c r="J29" s="379"/>
      <c r="K29" s="384" t="s">
        <v>214</v>
      </c>
      <c r="M29" s="397" t="n">
        <v>0</v>
      </c>
    </row>
    <row r="30" customFormat="false" ht="17.25" hidden="false" customHeight="false" outlineLevel="0" collapsed="false">
      <c r="A30" s="379"/>
      <c r="B30" s="379"/>
      <c r="C30" s="379"/>
      <c r="D30" s="392"/>
      <c r="E30" s="392"/>
      <c r="F30" s="406"/>
      <c r="G30" s="379"/>
      <c r="H30" s="379"/>
      <c r="I30" s="379"/>
      <c r="J30" s="379"/>
      <c r="K30" s="384" t="s">
        <v>225</v>
      </c>
      <c r="L30" s="379"/>
      <c r="M30" s="407" t="n">
        <f aca="false">+M23</f>
        <v>45</v>
      </c>
    </row>
    <row r="31" customFormat="false" ht="15.75" hidden="false" customHeight="false" outlineLevel="0" collapsed="false">
      <c r="A31" s="379"/>
      <c r="B31" s="379"/>
      <c r="C31" s="379"/>
      <c r="D31" s="392"/>
      <c r="E31" s="392"/>
      <c r="F31" s="406"/>
      <c r="G31" s="379"/>
      <c r="H31" s="379"/>
      <c r="I31" s="379"/>
      <c r="J31" s="379"/>
      <c r="K31" s="394" t="s">
        <v>10</v>
      </c>
      <c r="M31" s="406" t="n">
        <f aca="false">+M29+M28+M30</f>
        <v>9374</v>
      </c>
      <c r="N31" s="379"/>
      <c r="O31" s="408" t="n">
        <f aca="false">M31+M35</f>
        <v>11244</v>
      </c>
    </row>
    <row r="32" customFormat="false" ht="15.75" hidden="false" customHeight="false" outlineLevel="0" collapsed="false">
      <c r="A32" s="379"/>
      <c r="B32" s="379"/>
      <c r="C32" s="379"/>
      <c r="D32" s="392"/>
      <c r="E32" s="392"/>
      <c r="F32" s="406"/>
      <c r="G32" s="379"/>
      <c r="H32" s="379"/>
      <c r="I32" s="379"/>
      <c r="J32" s="379" t="s">
        <v>610</v>
      </c>
      <c r="K32" s="379"/>
      <c r="L32" s="379"/>
      <c r="M32" s="379"/>
      <c r="N32" s="379"/>
    </row>
    <row r="33" customFormat="false" ht="15.75" hidden="false" customHeight="false" outlineLevel="0" collapsed="false">
      <c r="A33" s="379"/>
      <c r="B33" s="379"/>
      <c r="C33" s="379"/>
      <c r="D33" s="379"/>
      <c r="E33" s="379"/>
      <c r="F33" s="379"/>
      <c r="G33" s="379"/>
      <c r="H33" s="379"/>
      <c r="I33" s="393"/>
      <c r="J33" s="379"/>
      <c r="K33" s="384" t="s">
        <v>186</v>
      </c>
      <c r="L33" s="409"/>
      <c r="M33" s="397" t="n">
        <f aca="false">+SUM(F7,M8,M10)</f>
        <v>493</v>
      </c>
      <c r="N33" s="379"/>
    </row>
    <row r="34" customFormat="false" ht="17.25" hidden="false" customHeight="false" outlineLevel="0" collapsed="false">
      <c r="A34" s="379"/>
      <c r="B34" s="379"/>
      <c r="C34" s="379"/>
      <c r="D34" s="379"/>
      <c r="E34" s="379"/>
      <c r="F34" s="397"/>
      <c r="G34" s="379"/>
      <c r="H34" s="379"/>
      <c r="I34" s="379"/>
      <c r="J34" s="379"/>
      <c r="K34" s="384" t="s">
        <v>214</v>
      </c>
      <c r="L34" s="379"/>
      <c r="M34" s="407" t="n">
        <f aca="false">+SUM(F11:F14,M16:M20)</f>
        <v>1377</v>
      </c>
      <c r="N34" s="379"/>
    </row>
    <row r="35" customFormat="false" ht="15.75" hidden="false" customHeight="false" outlineLevel="0" collapsed="false">
      <c r="A35" s="379"/>
      <c r="B35" s="379"/>
      <c r="C35" s="379"/>
      <c r="D35" s="379"/>
      <c r="E35" s="379"/>
      <c r="F35" s="397"/>
      <c r="G35" s="379"/>
      <c r="H35" s="379"/>
      <c r="I35" s="379"/>
      <c r="J35" s="379"/>
      <c r="K35" s="394" t="s">
        <v>10</v>
      </c>
      <c r="L35" s="392"/>
      <c r="M35" s="406" t="n">
        <f aca="false">+SUM(M33:M34)</f>
        <v>1870</v>
      </c>
      <c r="N35" s="379"/>
    </row>
    <row r="36" customFormat="false" ht="15.75" hidden="false" customHeight="false" outlineLevel="0" collapsed="false">
      <c r="A36" s="379"/>
      <c r="B36" s="379"/>
      <c r="C36" s="379"/>
      <c r="D36" s="392"/>
      <c r="E36" s="379"/>
      <c r="F36" s="379"/>
      <c r="G36" s="379"/>
      <c r="H36" s="379"/>
      <c r="I36" s="379"/>
      <c r="J36" s="379"/>
      <c r="N36" s="379"/>
    </row>
    <row r="37" customFormat="false" ht="15" hidden="false" customHeight="false" outlineLevel="0" collapsed="false">
      <c r="A37" s="379"/>
      <c r="B37" s="379"/>
      <c r="C37" s="379"/>
      <c r="D37" s="379"/>
      <c r="E37" s="379"/>
      <c r="F37" s="379"/>
      <c r="G37" s="379"/>
      <c r="H37" s="379"/>
      <c r="I37" s="379"/>
      <c r="L37" s="379"/>
      <c r="M37" s="379"/>
      <c r="N37" s="379"/>
    </row>
    <row r="38" customFormat="false" ht="15.75" hidden="false" customHeight="false" outlineLevel="0" collapsed="false">
      <c r="A38" s="392" t="s">
        <v>611</v>
      </c>
      <c r="C38" s="410" t="s">
        <v>612</v>
      </c>
      <c r="D38" s="403"/>
      <c r="E38" s="403"/>
      <c r="F38" s="403"/>
      <c r="I38" s="379"/>
    </row>
    <row r="39" customFormat="false" ht="15" hidden="false" customHeight="false" outlineLevel="0" collapsed="false">
      <c r="C39" s="379"/>
      <c r="D39" s="403"/>
      <c r="E39" s="403"/>
      <c r="F39" s="403"/>
      <c r="G39" s="379"/>
      <c r="H39" s="379"/>
      <c r="I39" s="379"/>
    </row>
    <row r="40" customFormat="false" ht="15" hidden="false" customHeight="false" outlineLevel="0" collapsed="false">
      <c r="C40" s="403" t="s">
        <v>100</v>
      </c>
      <c r="D40" s="403"/>
      <c r="E40" s="403"/>
      <c r="F40" s="403"/>
      <c r="G40" s="379"/>
      <c r="H40" s="379"/>
      <c r="I40" s="411" t="s">
        <v>613</v>
      </c>
    </row>
    <row r="41" customFormat="false" ht="15" hidden="false" customHeight="false" outlineLevel="0" collapsed="false">
      <c r="C41" s="403" t="s">
        <v>103</v>
      </c>
      <c r="D41" s="403"/>
      <c r="E41" s="403"/>
      <c r="F41" s="403"/>
      <c r="G41" s="412" t="s">
        <v>97</v>
      </c>
      <c r="H41" s="411" t="s">
        <v>98</v>
      </c>
      <c r="I41" s="413" t="s">
        <v>614</v>
      </c>
    </row>
    <row r="42" customFormat="false" ht="17.25" hidden="false" customHeight="false" outlineLevel="0" collapsed="false">
      <c r="C42" s="414" t="s">
        <v>615</v>
      </c>
      <c r="D42" s="403"/>
      <c r="E42" s="403"/>
      <c r="F42" s="403"/>
      <c r="G42" s="415" t="s">
        <v>616</v>
      </c>
      <c r="H42" s="415"/>
      <c r="I42" s="385" t="n">
        <v>21518202</v>
      </c>
    </row>
    <row r="43" customFormat="false" ht="15" hidden="false" customHeight="false" outlineLevel="0" collapsed="false">
      <c r="C43" s="403" t="s">
        <v>617</v>
      </c>
      <c r="D43" s="403"/>
      <c r="E43" s="403"/>
      <c r="F43" s="403"/>
      <c r="G43" s="388" t="n">
        <v>1788</v>
      </c>
      <c r="H43" s="416" t="n">
        <v>17551</v>
      </c>
      <c r="I43" s="385" t="n">
        <v>28484659</v>
      </c>
    </row>
    <row r="44" customFormat="false" ht="17.25" hidden="false" customHeight="false" outlineLevel="0" collapsed="false">
      <c r="C44" s="393"/>
      <c r="D44" s="379"/>
      <c r="E44" s="379"/>
      <c r="F44" s="379"/>
      <c r="G44" s="388" t="n">
        <v>5268</v>
      </c>
      <c r="H44" s="417" t="n">
        <v>19919</v>
      </c>
      <c r="I44" s="386" t="n">
        <v>1094548</v>
      </c>
    </row>
    <row r="45" customFormat="false" ht="17.25" hidden="false" customHeight="false" outlineLevel="0" collapsed="false">
      <c r="C45" s="418" t="s">
        <v>102</v>
      </c>
      <c r="D45" s="379"/>
      <c r="E45" s="379"/>
      <c r="F45" s="379"/>
      <c r="G45" s="389" t="n">
        <v>105</v>
      </c>
      <c r="H45" s="419" t="n">
        <v>2529</v>
      </c>
      <c r="I45" s="388" t="n">
        <f aca="false">SUM(I42:I44)</f>
        <v>51097409</v>
      </c>
    </row>
    <row r="46" customFormat="false" ht="15" hidden="false" customHeight="false" outlineLevel="0" collapsed="false">
      <c r="C46" s="403" t="s">
        <v>100</v>
      </c>
      <c r="D46" s="379"/>
      <c r="E46" s="379"/>
      <c r="F46" s="379"/>
      <c r="G46" s="388" t="n">
        <f aca="false">SUM(G43:G45)</f>
        <v>7161</v>
      </c>
      <c r="H46" s="417" t="n">
        <f aca="false">SUM(H43:H45)</f>
        <v>39999</v>
      </c>
      <c r="I46" s="420"/>
    </row>
    <row r="47" customFormat="false" ht="17.25" hidden="false" customHeight="false" outlineLevel="0" collapsed="false">
      <c r="C47" s="414" t="s">
        <v>615</v>
      </c>
      <c r="D47" s="379"/>
      <c r="E47" s="379"/>
      <c r="F47" s="379"/>
      <c r="G47" s="397"/>
      <c r="H47" s="397"/>
      <c r="I47" s="384"/>
    </row>
    <row r="48" customFormat="false" ht="15" hidden="false" customHeight="false" outlineLevel="0" collapsed="false">
      <c r="C48" s="403" t="s">
        <v>110</v>
      </c>
      <c r="D48" s="379"/>
      <c r="E48" s="379"/>
      <c r="F48" s="379"/>
      <c r="G48" s="379"/>
      <c r="H48" s="404"/>
      <c r="I48" s="384"/>
    </row>
    <row r="49" customFormat="false" ht="15" hidden="false" customHeight="false" outlineLevel="0" collapsed="false">
      <c r="C49" s="403"/>
      <c r="D49" s="379"/>
      <c r="E49" s="379"/>
      <c r="F49" s="379"/>
      <c r="G49" s="379"/>
      <c r="H49" s="388" t="n">
        <v>5836</v>
      </c>
      <c r="I49" s="384"/>
    </row>
    <row r="50" customFormat="false" ht="17.25" hidden="false" customHeight="false" outlineLevel="0" collapsed="false">
      <c r="G50" s="379"/>
      <c r="H50" s="389" t="n">
        <v>1331</v>
      </c>
      <c r="I50" s="384"/>
    </row>
    <row r="51" customFormat="false" ht="15" hidden="false" customHeight="false" outlineLevel="0" collapsed="false">
      <c r="G51" s="379"/>
      <c r="H51" s="388" t="n">
        <f aca="false">SUM(H49:H50)</f>
        <v>7167</v>
      </c>
      <c r="I51" s="384"/>
    </row>
    <row r="52" customFormat="false" ht="15" hidden="false" customHeight="false" outlineLevel="0" collapsed="false">
      <c r="G52" s="379"/>
      <c r="H52" s="379"/>
    </row>
    <row r="53" customFormat="false" ht="15.75" hidden="false" customHeight="false" outlineLevel="0" collapsed="false">
      <c r="A53" s="421" t="s">
        <v>618</v>
      </c>
    </row>
    <row r="54" customFormat="false" ht="15" hidden="false" customHeight="false" outlineLevel="0" collapsed="false">
      <c r="A54" s="390" t="n">
        <v>1</v>
      </c>
      <c r="B54" s="390" t="s">
        <v>619</v>
      </c>
    </row>
    <row r="55" customFormat="false" ht="15.75" hidden="false" customHeight="false" outlineLevel="0" collapsed="false">
      <c r="A55" s="390" t="n">
        <v>2</v>
      </c>
      <c r="B55" s="390" t="s">
        <v>620</v>
      </c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8"/>
      <c r="AH55" s="358"/>
      <c r="AI55" s="358"/>
      <c r="AJ55" s="358"/>
      <c r="AK55" s="358"/>
      <c r="AL55" s="358"/>
      <c r="AM55" s="358"/>
      <c r="AN55" s="358"/>
      <c r="AO55" s="358"/>
      <c r="AP55" s="358"/>
      <c r="AQ55" s="358"/>
      <c r="AR55" s="358"/>
      <c r="AS55" s="358"/>
      <c r="AT55" s="358"/>
      <c r="AU55" s="358"/>
      <c r="AV55" s="358"/>
      <c r="AW55" s="358"/>
      <c r="AX55" s="358"/>
      <c r="AY55" s="358"/>
      <c r="AZ55" s="358"/>
      <c r="BA55" s="358"/>
      <c r="BB55" s="358"/>
      <c r="BC55" s="358"/>
      <c r="BD55" s="358"/>
      <c r="BE55" s="358"/>
      <c r="BF55" s="358"/>
      <c r="BG55" s="358"/>
      <c r="BH55" s="358"/>
      <c r="BI55" s="358"/>
      <c r="BJ55" s="358"/>
      <c r="BK55" s="358"/>
      <c r="BL55" s="358"/>
      <c r="BM55" s="358"/>
      <c r="BN55" s="358"/>
      <c r="BO55" s="358"/>
      <c r="BP55" s="358"/>
      <c r="BQ55" s="358"/>
      <c r="BR55" s="358"/>
      <c r="BS55" s="358"/>
      <c r="BT55" s="358"/>
      <c r="BU55" s="358"/>
      <c r="BV55" s="358"/>
      <c r="BW55" s="358"/>
      <c r="BX55" s="358"/>
      <c r="BY55" s="358"/>
      <c r="BZ55" s="358"/>
      <c r="CA55" s="358"/>
      <c r="CB55" s="358"/>
      <c r="CC55" s="358"/>
      <c r="CD55" s="358"/>
      <c r="CE55" s="358"/>
      <c r="CF55" s="358"/>
      <c r="CG55" s="358"/>
      <c r="CH55" s="358"/>
      <c r="CI55" s="358"/>
      <c r="CJ55" s="358"/>
      <c r="CK55" s="358"/>
      <c r="CL55" s="358"/>
      <c r="CM55" s="358"/>
      <c r="CN55" s="358"/>
      <c r="CO55" s="358"/>
      <c r="CP55" s="358"/>
      <c r="CQ55" s="358"/>
      <c r="CR55" s="358"/>
      <c r="CS55" s="358"/>
      <c r="CT55" s="358"/>
      <c r="CU55" s="358"/>
      <c r="CV55" s="358"/>
      <c r="CW55" s="358"/>
      <c r="CX55" s="358"/>
      <c r="CY55" s="358"/>
      <c r="CZ55" s="358"/>
      <c r="DA55" s="358"/>
      <c r="DB55" s="358"/>
      <c r="DC55" s="358"/>
      <c r="DD55" s="358"/>
      <c r="DE55" s="358"/>
      <c r="DF55" s="358"/>
      <c r="DG55" s="358"/>
      <c r="DH55" s="358"/>
      <c r="DI55" s="358"/>
      <c r="DJ55" s="358"/>
      <c r="DK55" s="358"/>
      <c r="DL55" s="358"/>
      <c r="DM55" s="358"/>
      <c r="DN55" s="358"/>
      <c r="DO55" s="358"/>
      <c r="DP55" s="358"/>
      <c r="DQ55" s="358"/>
      <c r="DR55" s="358"/>
      <c r="DS55" s="358"/>
      <c r="DT55" s="358"/>
      <c r="DU55" s="358"/>
      <c r="DV55" s="358"/>
      <c r="DW55" s="358"/>
      <c r="DX55" s="358"/>
      <c r="DY55" s="358"/>
      <c r="DZ55" s="358"/>
      <c r="EA55" s="358"/>
      <c r="EB55" s="358"/>
      <c r="EC55" s="358"/>
      <c r="ED55" s="358"/>
      <c r="EE55" s="358"/>
      <c r="EF55" s="358"/>
      <c r="EG55" s="358"/>
      <c r="EH55" s="358"/>
      <c r="EI55" s="358"/>
      <c r="EJ55" s="358"/>
      <c r="EK55" s="358"/>
      <c r="EL55" s="358"/>
      <c r="EM55" s="358"/>
      <c r="EN55" s="358"/>
      <c r="EO55" s="358"/>
      <c r="EP55" s="358"/>
      <c r="EQ55" s="358"/>
      <c r="ER55" s="358"/>
      <c r="ES55" s="358"/>
      <c r="ET55" s="358"/>
      <c r="EU55" s="358"/>
      <c r="EV55" s="358"/>
      <c r="EW55" s="358"/>
      <c r="EX55" s="358"/>
      <c r="EY55" s="358"/>
      <c r="EZ55" s="358"/>
      <c r="FA55" s="358"/>
      <c r="FB55" s="358"/>
      <c r="FC55" s="358"/>
      <c r="FD55" s="358"/>
      <c r="FE55" s="358"/>
      <c r="FF55" s="358"/>
      <c r="FG55" s="358"/>
      <c r="FH55" s="358"/>
      <c r="FI55" s="358"/>
      <c r="FJ55" s="358"/>
      <c r="FK55" s="358"/>
      <c r="FL55" s="358"/>
      <c r="FM55" s="358"/>
      <c r="FN55" s="358"/>
      <c r="FO55" s="358"/>
      <c r="FP55" s="358"/>
      <c r="FQ55" s="358"/>
      <c r="FR55" s="358"/>
      <c r="FS55" s="358"/>
      <c r="FT55" s="358"/>
      <c r="FU55" s="358"/>
      <c r="FV55" s="358"/>
      <c r="FW55" s="358"/>
      <c r="FX55" s="358"/>
      <c r="FY55" s="358"/>
      <c r="FZ55" s="358"/>
      <c r="GA55" s="358"/>
      <c r="GB55" s="358"/>
      <c r="GC55" s="358"/>
      <c r="GD55" s="358"/>
      <c r="GE55" s="358"/>
      <c r="GF55" s="358"/>
      <c r="GG55" s="358"/>
      <c r="GH55" s="358"/>
      <c r="GI55" s="358"/>
      <c r="GJ55" s="358"/>
      <c r="GK55" s="358"/>
      <c r="GL55" s="358"/>
      <c r="GM55" s="358"/>
      <c r="GN55" s="358"/>
      <c r="GO55" s="358"/>
      <c r="GP55" s="358"/>
      <c r="GQ55" s="358"/>
      <c r="GR55" s="358"/>
      <c r="GS55" s="358"/>
      <c r="GT55" s="358"/>
      <c r="GU55" s="358"/>
      <c r="GV55" s="358"/>
      <c r="GW55" s="358"/>
      <c r="GX55" s="358"/>
      <c r="GY55" s="358"/>
      <c r="GZ55" s="358"/>
      <c r="HA55" s="358"/>
      <c r="HB55" s="358"/>
      <c r="HC55" s="358"/>
      <c r="HD55" s="358"/>
      <c r="HE55" s="358"/>
      <c r="HF55" s="358"/>
      <c r="HG55" s="358"/>
      <c r="HH55" s="358"/>
      <c r="HI55" s="358"/>
      <c r="HJ55" s="358"/>
      <c r="HK55" s="358"/>
      <c r="HL55" s="358"/>
      <c r="HM55" s="358"/>
      <c r="HN55" s="358"/>
      <c r="HO55" s="358"/>
      <c r="HP55" s="358"/>
      <c r="HQ55" s="358"/>
      <c r="HR55" s="358"/>
      <c r="HS55" s="358"/>
      <c r="HT55" s="358"/>
      <c r="HU55" s="358"/>
      <c r="HV55" s="358"/>
      <c r="HW55" s="358"/>
      <c r="HX55" s="358"/>
      <c r="HY55" s="358"/>
      <c r="HZ55" s="358"/>
      <c r="IA55" s="358"/>
      <c r="IB55" s="358"/>
      <c r="IC55" s="358"/>
      <c r="ID55" s="358"/>
      <c r="IE55" s="358"/>
      <c r="IF55" s="358"/>
      <c r="IG55" s="358"/>
      <c r="IH55" s="358"/>
      <c r="II55" s="358"/>
      <c r="IJ55" s="358"/>
      <c r="IK55" s="358"/>
      <c r="IL55" s="358"/>
      <c r="IM55" s="358"/>
      <c r="IN55" s="358"/>
      <c r="IO55" s="358"/>
      <c r="IP55" s="358"/>
      <c r="IQ55" s="358"/>
      <c r="IR55" s="358"/>
      <c r="IS55" s="358"/>
      <c r="IT55" s="358"/>
      <c r="IU55" s="358"/>
      <c r="IV55" s="358"/>
      <c r="IW55" s="358"/>
    </row>
    <row r="56" customFormat="false" ht="15" hidden="false" customHeight="false" outlineLevel="0" collapsed="false">
      <c r="A56" s="390" t="n">
        <v>3</v>
      </c>
      <c r="B56" s="390" t="s">
        <v>621</v>
      </c>
    </row>
    <row r="57" customFormat="false" ht="15" hidden="false" customHeight="false" outlineLevel="0" collapsed="false">
      <c r="A57" s="390" t="n">
        <v>4</v>
      </c>
      <c r="B57" s="422" t="s">
        <v>622</v>
      </c>
    </row>
    <row r="58" customFormat="false" ht="15" hidden="false" customHeight="false" outlineLevel="0" collapsed="false">
      <c r="A58" s="390" t="n">
        <v>5</v>
      </c>
      <c r="B58" s="390" t="s">
        <v>623</v>
      </c>
    </row>
    <row r="59" customFormat="false" ht="15" hidden="false" customHeight="false" outlineLevel="0" collapsed="false">
      <c r="A59" s="390" t="n">
        <v>6</v>
      </c>
      <c r="B59" s="390" t="s">
        <v>624</v>
      </c>
      <c r="E59" s="391"/>
    </row>
    <row r="60" customFormat="false" ht="15" hidden="false" customHeight="false" outlineLevel="0" collapsed="false">
      <c r="A60" s="390" t="n">
        <v>7</v>
      </c>
      <c r="B60" s="390" t="s">
        <v>625</v>
      </c>
      <c r="E60" s="391"/>
    </row>
    <row r="61" customFormat="false" ht="15" hidden="false" customHeight="false" outlineLevel="0" collapsed="false">
      <c r="A61" s="390" t="n">
        <v>8</v>
      </c>
      <c r="B61" s="390" t="s">
        <v>626</v>
      </c>
      <c r="E61" s="391"/>
    </row>
    <row r="62" customFormat="false" ht="15" hidden="false" customHeight="false" outlineLevel="0" collapsed="false">
      <c r="A62" s="390" t="n">
        <v>9</v>
      </c>
      <c r="B62" s="390" t="s">
        <v>627</v>
      </c>
      <c r="E62" s="391"/>
    </row>
    <row r="63" customFormat="false" ht="15" hidden="false" customHeight="false" outlineLevel="0" collapsed="false">
      <c r="E63" s="391"/>
    </row>
  </sheetData>
  <mergeCells count="1">
    <mergeCell ref="G42:H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I33" activeCellId="0" sqref="I33 K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19.99"/>
    <col collapsed="false" customWidth="true" hidden="false" outlineLevel="0" max="3" min="3" style="0" width="6.13"/>
    <col collapsed="false" customWidth="true" hidden="false" outlineLevel="0" max="4" min="4" style="0" width="12.28"/>
    <col collapsed="false" customWidth="true" hidden="false" outlineLevel="0" max="5" min="5" style="0" width="12.7"/>
    <col collapsed="false" customWidth="true" hidden="false" outlineLevel="0" max="7" min="6" style="0" width="8.56"/>
    <col collapsed="false" customWidth="true" hidden="false" outlineLevel="0" max="8" min="8" style="321" width="9.14"/>
    <col collapsed="false" customWidth="true" hidden="false" outlineLevel="0" max="9" min="9" style="0" width="13.41"/>
    <col collapsed="false" customWidth="true" hidden="false" outlineLevel="0" max="10" min="10" style="0" width="12.85"/>
    <col collapsed="false" customWidth="true" hidden="false" outlineLevel="0" max="11" min="11" style="0" width="13.85"/>
    <col collapsed="false" customWidth="true" hidden="false" outlineLevel="0" max="13" min="13" style="0" width="10.85"/>
    <col collapsed="false" customWidth="true" hidden="false" outlineLevel="0" max="15" min="15" style="0" width="10.85"/>
  </cols>
  <sheetData>
    <row r="1" customFormat="false" ht="12.75" hidden="false" customHeight="false" outlineLevel="0" collapsed="false">
      <c r="H1" s="0"/>
    </row>
    <row r="2" customFormat="false" ht="16.5" hidden="false" customHeight="false" outlineLevel="0" collapsed="false">
      <c r="A2" s="423" t="s">
        <v>628</v>
      </c>
      <c r="H2" s="0"/>
    </row>
    <row r="3" customFormat="false" ht="12.75" hidden="false" customHeight="false" outlineLevel="0" collapsed="false">
      <c r="H3" s="0"/>
    </row>
    <row r="4" customFormat="false" ht="12.75" hidden="false" customHeight="false" outlineLevel="0" collapsed="false">
      <c r="A4" s="28" t="s">
        <v>629</v>
      </c>
      <c r="H4" s="0"/>
    </row>
    <row r="5" customFormat="false" ht="12.75" hidden="false" customHeight="false" outlineLevel="0" collapsed="false">
      <c r="H5" s="0"/>
    </row>
    <row r="6" customFormat="false" ht="15.75" hidden="false" customHeight="false" outlineLevel="0" collapsed="false">
      <c r="B6" s="424" t="s">
        <v>630</v>
      </c>
      <c r="C6" s="425"/>
      <c r="D6" s="425"/>
      <c r="E6" s="426" t="s">
        <v>631</v>
      </c>
      <c r="F6" s="427" t="s">
        <v>127</v>
      </c>
      <c r="G6" s="427"/>
      <c r="H6" s="427"/>
      <c r="I6" s="427" t="s">
        <v>259</v>
      </c>
      <c r="J6" s="427"/>
      <c r="K6" s="427"/>
      <c r="L6" s="426"/>
      <c r="M6" s="427" t="s">
        <v>311</v>
      </c>
      <c r="N6" s="427"/>
      <c r="O6" s="427"/>
    </row>
    <row r="7" customFormat="false" ht="12.75" hidden="false" customHeight="false" outlineLevel="0" collapsed="false">
      <c r="H7" s="0"/>
    </row>
    <row r="8" customFormat="false" ht="15" hidden="false" customHeight="false" outlineLevel="0" collapsed="false">
      <c r="B8" s="426" t="s">
        <v>61</v>
      </c>
      <c r="H8" s="0"/>
    </row>
    <row r="9" customFormat="false" ht="12.75" hidden="false" customHeight="false" outlineLevel="0" collapsed="false">
      <c r="D9" s="428" t="s">
        <v>632</v>
      </c>
      <c r="E9" s="46" t="n">
        <f aca="false">'Corp I-S&amp;B-S'!$I$44</f>
        <v>1047.059</v>
      </c>
      <c r="F9" s="429" t="n">
        <v>6.5</v>
      </c>
      <c r="G9" s="430" t="s">
        <v>132</v>
      </c>
      <c r="H9" s="431" t="n">
        <v>7</v>
      </c>
      <c r="I9" s="46" t="n">
        <f aca="false">E9*F9</f>
        <v>6805.8835</v>
      </c>
      <c r="J9" s="432" t="s">
        <v>132</v>
      </c>
      <c r="K9" s="46" t="n">
        <f aca="false">E9*H9</f>
        <v>7329.413</v>
      </c>
      <c r="M9" s="46" t="n">
        <f aca="false">I9-$J$23</f>
        <v>3256.2845</v>
      </c>
      <c r="N9" s="433" t="s">
        <v>132</v>
      </c>
      <c r="O9" s="46" t="n">
        <f aca="false">K9-$J$23</f>
        <v>3779.814</v>
      </c>
    </row>
    <row r="10" customFormat="false" ht="12.75" hidden="false" customHeight="false" outlineLevel="0" collapsed="false">
      <c r="D10" s="0" t="s">
        <v>633</v>
      </c>
      <c r="E10" s="434" t="n">
        <f aca="false">+'Corp I-S&amp;B-S'!J44</f>
        <v>1226.863</v>
      </c>
      <c r="F10" s="435" t="n">
        <v>5.7</v>
      </c>
      <c r="G10" s="430" t="s">
        <v>132</v>
      </c>
      <c r="H10" s="431" t="n">
        <v>6.5</v>
      </c>
      <c r="I10" s="46" t="n">
        <f aca="false">E10*F10</f>
        <v>6993.1191</v>
      </c>
      <c r="J10" s="432" t="s">
        <v>132</v>
      </c>
      <c r="K10" s="46" t="n">
        <f aca="false">E10*H10</f>
        <v>7974.6095</v>
      </c>
      <c r="M10" s="46" t="n">
        <f aca="false">I10-$J$23</f>
        <v>3443.5201</v>
      </c>
      <c r="N10" s="433" t="s">
        <v>132</v>
      </c>
      <c r="O10" s="46" t="n">
        <f aca="false">K10-$J$23</f>
        <v>4425.0105</v>
      </c>
    </row>
    <row r="11" customFormat="false" ht="12.75" hidden="false" customHeight="false" outlineLevel="0" collapsed="false">
      <c r="F11" s="436"/>
      <c r="G11" s="436"/>
      <c r="H11" s="437"/>
      <c r="J11" s="438"/>
    </row>
    <row r="12" customFormat="false" ht="15" hidden="false" customHeight="false" outlineLevel="0" collapsed="false">
      <c r="B12" s="426" t="s">
        <v>67</v>
      </c>
      <c r="F12" s="436"/>
      <c r="G12" s="436"/>
      <c r="H12" s="437"/>
      <c r="J12" s="438"/>
    </row>
    <row r="13" customFormat="false" ht="12.75" hidden="false" customHeight="false" outlineLevel="0" collapsed="false">
      <c r="D13" s="428" t="s">
        <v>634</v>
      </c>
      <c r="E13" s="46" t="n">
        <f aca="false">'Corp I-S&amp;B-S'!$I$31</f>
        <v>403.641</v>
      </c>
      <c r="F13" s="429" t="n">
        <v>11</v>
      </c>
      <c r="G13" s="430" t="s">
        <v>132</v>
      </c>
      <c r="H13" s="431" t="n">
        <v>12</v>
      </c>
      <c r="I13" s="46" t="n">
        <f aca="false">M13+$J$23</f>
        <v>7989.65</v>
      </c>
      <c r="J13" s="334" t="s">
        <v>132</v>
      </c>
      <c r="K13" s="46" t="n">
        <f aca="false">O13+$J$23</f>
        <v>8393.291</v>
      </c>
      <c r="M13" s="46" t="n">
        <f aca="false">$E13*F13</f>
        <v>4440.051</v>
      </c>
      <c r="N13" s="433" t="s">
        <v>132</v>
      </c>
      <c r="O13" s="46" t="n">
        <f aca="false">$E13*H13</f>
        <v>4843.692</v>
      </c>
    </row>
    <row r="14" customFormat="false" ht="12.75" hidden="false" customHeight="false" outlineLevel="0" collapsed="false">
      <c r="D14" s="428" t="s">
        <v>635</v>
      </c>
      <c r="E14" s="46" t="n">
        <f aca="false">'Corp I-S&amp;B-S'!$J$31</f>
        <v>414.37212</v>
      </c>
      <c r="F14" s="429" t="n">
        <v>9.5</v>
      </c>
      <c r="G14" s="430" t="s">
        <v>132</v>
      </c>
      <c r="H14" s="431" t="n">
        <v>11</v>
      </c>
      <c r="I14" s="46" t="n">
        <f aca="false">M14+$J$23</f>
        <v>7486.13414</v>
      </c>
      <c r="J14" s="334" t="s">
        <v>132</v>
      </c>
      <c r="K14" s="46" t="n">
        <f aca="false">O14+$J$23</f>
        <v>8107.69232</v>
      </c>
      <c r="M14" s="46" t="n">
        <f aca="false">$E14*F14</f>
        <v>3936.53514</v>
      </c>
      <c r="N14" s="433" t="s">
        <v>132</v>
      </c>
      <c r="O14" s="46" t="n">
        <f aca="false">$E14*H14</f>
        <v>4558.09332</v>
      </c>
    </row>
    <row r="15" customFormat="false" ht="12.75" hidden="false" customHeight="false" outlineLevel="0" collapsed="false">
      <c r="F15" s="436"/>
      <c r="G15" s="436"/>
      <c r="H15" s="437"/>
      <c r="J15" s="438"/>
    </row>
    <row r="16" customFormat="false" ht="16.5" hidden="false" customHeight="false" outlineLevel="0" collapsed="false">
      <c r="A16" s="423"/>
      <c r="F16" s="436"/>
      <c r="G16" s="436"/>
      <c r="H16" s="437"/>
      <c r="J16" s="438"/>
    </row>
    <row r="17" customFormat="false" ht="13.5" hidden="false" customHeight="true" outlineLevel="0" collapsed="false">
      <c r="B17" s="426" t="s">
        <v>636</v>
      </c>
      <c r="E17" s="331" t="n">
        <f aca="false">'Corp I-S&amp;B-S'!N56</f>
        <v>2638.367</v>
      </c>
      <c r="F17" s="429" t="n">
        <f aca="false">'Comp Summary'!B11</f>
        <v>1.5</v>
      </c>
      <c r="G17" s="430" t="s">
        <v>132</v>
      </c>
      <c r="H17" s="431" t="n">
        <f aca="false">'Comp Summary'!D11</f>
        <v>2</v>
      </c>
      <c r="I17" s="331" t="n">
        <f aca="false">M17+$J$23</f>
        <v>7507.1495</v>
      </c>
      <c r="J17" s="334" t="s">
        <v>132</v>
      </c>
      <c r="K17" s="331" t="n">
        <f aca="false">O17+$J$23</f>
        <v>8826.333</v>
      </c>
      <c r="M17" s="439" t="n">
        <f aca="false">$E17*F17</f>
        <v>3957.5505</v>
      </c>
      <c r="N17" s="433" t="s">
        <v>132</v>
      </c>
      <c r="O17" s="439" t="n">
        <f aca="false">$E17*H17</f>
        <v>5276.734</v>
      </c>
    </row>
    <row r="18" customFormat="false" ht="12.75" hidden="false" customHeight="false" outlineLevel="0" collapsed="false">
      <c r="J18" s="438"/>
    </row>
    <row r="19" customFormat="false" ht="12.75" hidden="false" customHeight="false" outlineLevel="0" collapsed="false">
      <c r="G19" s="440" t="s">
        <v>637</v>
      </c>
      <c r="I19" s="441" t="n">
        <v>7400</v>
      </c>
      <c r="J19" s="442" t="s">
        <v>132</v>
      </c>
      <c r="K19" s="441" t="n">
        <v>8200</v>
      </c>
    </row>
    <row r="20" customFormat="false" ht="12.75" hidden="false" customHeight="false" outlineLevel="0" collapsed="false">
      <c r="J20" s="438"/>
    </row>
    <row r="21" customFormat="false" ht="12.75" hidden="false" customHeight="false" outlineLevel="0" collapsed="false">
      <c r="J21" s="438"/>
    </row>
    <row r="22" customFormat="false" ht="12.75" hidden="false" customHeight="false" outlineLevel="0" collapsed="false">
      <c r="J22" s="438"/>
    </row>
    <row r="23" customFormat="false" ht="14.25" hidden="false" customHeight="false" outlineLevel="0" collapsed="false">
      <c r="D23" s="443"/>
      <c r="F23" s="444" t="s">
        <v>638</v>
      </c>
      <c r="J23" s="33" t="n">
        <f aca="false">'Corp I-S&amp;B-S'!$C$71</f>
        <v>3549.599</v>
      </c>
    </row>
    <row r="25" customFormat="false" ht="12.75" hidden="false" customHeight="false" outlineLevel="0" collapsed="false">
      <c r="F25" s="445" t="s">
        <v>639</v>
      </c>
      <c r="G25" s="27"/>
      <c r="H25" s="27"/>
      <c r="I25" s="446" t="n">
        <f aca="false">I19-J23</f>
        <v>3850.401</v>
      </c>
      <c r="J25" s="432" t="s">
        <v>132</v>
      </c>
      <c r="K25" s="447" t="n">
        <f aca="false">K19-J23</f>
        <v>4650.401</v>
      </c>
    </row>
    <row r="26" customFormat="false" ht="12.75" hidden="false" customHeight="false" outlineLevel="0" collapsed="false">
      <c r="F26" s="448"/>
      <c r="G26" s="27"/>
      <c r="H26" s="27"/>
      <c r="I26" s="27"/>
      <c r="J26" s="449"/>
      <c r="K26" s="449"/>
    </row>
    <row r="27" customFormat="false" ht="12.75" hidden="false" customHeight="false" outlineLevel="0" collapsed="false">
      <c r="F27" s="27" t="s">
        <v>160</v>
      </c>
      <c r="G27" s="27"/>
      <c r="H27" s="27"/>
      <c r="I27" s="27"/>
      <c r="J27" s="35" t="n">
        <f aca="false">'Corp I-S&amp;B-S'!$H$38</f>
        <v>158.844</v>
      </c>
      <c r="K27" s="449"/>
    </row>
    <row r="28" customFormat="false" ht="12.75" hidden="false" customHeight="false" outlineLevel="0" collapsed="false">
      <c r="F28" s="27"/>
      <c r="G28" s="27"/>
      <c r="H28" s="27"/>
      <c r="I28" s="450"/>
      <c r="J28" s="451"/>
      <c r="K28" s="450"/>
    </row>
    <row r="29" customFormat="false" ht="13.5" hidden="false" customHeight="false" outlineLevel="0" collapsed="false">
      <c r="F29" s="27" t="s">
        <v>161</v>
      </c>
      <c r="G29" s="27"/>
      <c r="H29" s="27"/>
      <c r="I29" s="452" t="n">
        <f aca="false">I25/J27</f>
        <v>24.2401412706807</v>
      </c>
      <c r="J29" s="432" t="s">
        <v>132</v>
      </c>
      <c r="K29" s="452" t="n">
        <f aca="false">K25/J27</f>
        <v>29.2765291732769</v>
      </c>
    </row>
    <row r="30" customFormat="false" ht="13.5" hidden="false" customHeight="false" outlineLevel="0" collapsed="false">
      <c r="F30" s="27"/>
      <c r="G30" s="27"/>
      <c r="H30" s="27"/>
      <c r="I30" s="450"/>
      <c r="J30" s="451"/>
      <c r="K30" s="450"/>
    </row>
    <row r="31" customFormat="false" ht="12.75" hidden="false" customHeight="false" outlineLevel="0" collapsed="false">
      <c r="F31" s="27" t="s">
        <v>162</v>
      </c>
      <c r="G31" s="27"/>
      <c r="H31" s="453"/>
      <c r="J31" s="454" t="n">
        <f aca="false">+'Corp I-S&amp;B-S'!D54</f>
        <v>21.4375</v>
      </c>
      <c r="K31" s="454"/>
    </row>
    <row r="32" customFormat="false" ht="12.75" hidden="false" customHeight="false" outlineLevel="0" collapsed="false">
      <c r="F32" s="27"/>
      <c r="G32" s="27"/>
      <c r="H32" s="27"/>
      <c r="I32" s="450"/>
      <c r="J32" s="451"/>
      <c r="K32" s="450"/>
    </row>
    <row r="33" customFormat="false" ht="13.5" hidden="false" customHeight="false" outlineLevel="0" collapsed="false">
      <c r="F33" s="27" t="s">
        <v>163</v>
      </c>
      <c r="G33" s="27"/>
      <c r="H33" s="453"/>
      <c r="I33" s="455" t="n">
        <f aca="false">-(J31-I29)/J31</f>
        <v>0.13073545285974</v>
      </c>
      <c r="J33" s="432" t="s">
        <v>132</v>
      </c>
      <c r="K33" s="455" t="n">
        <f aca="false">-(J31-K29)/J31</f>
        <v>0.365668999336533</v>
      </c>
    </row>
    <row r="34" customFormat="false" ht="13.5" hidden="false" customHeight="false" outlineLevel="0" collapsed="false">
      <c r="F34" s="27"/>
      <c r="G34" s="27"/>
      <c r="H34" s="27"/>
      <c r="I34" s="456"/>
      <c r="J34" s="432"/>
      <c r="K34" s="456"/>
    </row>
    <row r="36" customFormat="false" ht="12.75" hidden="false" customHeight="false" outlineLevel="0" collapsed="false">
      <c r="D36" s="0" t="s">
        <v>640</v>
      </c>
    </row>
    <row r="37" customFormat="false" ht="12.75" hidden="false" customHeight="false" outlineLevel="0" collapsed="false">
      <c r="D37" s="0" t="s">
        <v>641</v>
      </c>
      <c r="H37" s="0"/>
    </row>
  </sheetData>
  <mergeCells count="3">
    <mergeCell ref="F6:H6"/>
    <mergeCell ref="I6:K6"/>
    <mergeCell ref="M6:O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J58" activeCellId="0" sqref="J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99"/>
    <col collapsed="false" customWidth="true" hidden="false" outlineLevel="0" max="4" min="4" style="0" width="12.14"/>
    <col collapsed="false" customWidth="true" hidden="false" outlineLevel="0" max="5" min="5" style="0" width="10.56"/>
    <col collapsed="false" customWidth="true" hidden="false" outlineLevel="0" max="9" min="9" style="0" width="13.41"/>
    <col collapsed="false" customWidth="true" hidden="false" outlineLevel="0" max="10" min="10" style="0" width="10.41"/>
    <col collapsed="false" customWidth="true" hidden="false" outlineLevel="0" max="11" min="11" style="0" width="11.13"/>
    <col collapsed="false" customWidth="true" hidden="false" outlineLevel="0" max="13" min="13" style="0" width="10.13"/>
    <col collapsed="false" customWidth="true" hidden="false" outlineLevel="0" max="15" min="15" style="0" width="10.56"/>
  </cols>
  <sheetData>
    <row r="1" customFormat="false" ht="16.5" hidden="false" customHeight="false" outlineLevel="0" collapsed="false">
      <c r="A1" s="423" t="s">
        <v>642</v>
      </c>
    </row>
    <row r="2" customFormat="false" ht="12.75" hidden="false" customHeight="false" outlineLevel="0" collapsed="false">
      <c r="A2" s="0" t="s">
        <v>643</v>
      </c>
    </row>
    <row r="3" customFormat="false" ht="12.75" hidden="false" customHeight="false" outlineLevel="0" collapsed="false">
      <c r="A3" s="28" t="s">
        <v>629</v>
      </c>
    </row>
    <row r="5" customFormat="false" ht="15.75" hidden="false" customHeight="false" outlineLevel="0" collapsed="false">
      <c r="B5" s="424" t="s">
        <v>630</v>
      </c>
      <c r="C5" s="425"/>
      <c r="D5" s="425"/>
      <c r="E5" s="426" t="s">
        <v>631</v>
      </c>
      <c r="F5" s="427" t="s">
        <v>127</v>
      </c>
      <c r="G5" s="427"/>
      <c r="H5" s="427"/>
      <c r="I5" s="427" t="s">
        <v>259</v>
      </c>
      <c r="J5" s="427"/>
      <c r="K5" s="427"/>
      <c r="L5" s="426"/>
      <c r="M5" s="427" t="s">
        <v>311</v>
      </c>
      <c r="N5" s="427"/>
      <c r="O5" s="427"/>
    </row>
    <row r="7" customFormat="false" ht="15" hidden="false" customHeight="false" outlineLevel="0" collapsed="false">
      <c r="B7" s="426" t="s">
        <v>61</v>
      </c>
    </row>
    <row r="8" customFormat="false" ht="12.75" hidden="false" customHeight="false" outlineLevel="0" collapsed="false">
      <c r="D8" s="428" t="s">
        <v>644</v>
      </c>
      <c r="E8" s="331" t="n">
        <f aca="false">'Corp I-S&amp;B-S'!$H$44</f>
        <v>1068.81</v>
      </c>
      <c r="F8" s="429" t="n">
        <v>8</v>
      </c>
      <c r="G8" s="430" t="s">
        <v>132</v>
      </c>
      <c r="H8" s="431" t="n">
        <v>9</v>
      </c>
      <c r="I8" s="331" t="n">
        <f aca="false">E8*F8</f>
        <v>8550.48</v>
      </c>
      <c r="J8" s="439" t="s">
        <v>132</v>
      </c>
      <c r="K8" s="331" t="n">
        <f aca="false">E8*H8</f>
        <v>9619.29</v>
      </c>
      <c r="M8" s="331" t="n">
        <f aca="false">I8-'Corporate Comparable Trading'!$J$23</f>
        <v>5000.881</v>
      </c>
      <c r="N8" s="439" t="s">
        <v>132</v>
      </c>
      <c r="O8" s="331" t="n">
        <f aca="false">K8-'Corporate Comparable Trading'!$J$23</f>
        <v>6069.691</v>
      </c>
    </row>
    <row r="9" customFormat="false" ht="12.75" hidden="false" customHeight="false" outlineLevel="0" collapsed="false">
      <c r="F9" s="436"/>
      <c r="G9" s="436"/>
      <c r="H9" s="437"/>
      <c r="I9" s="457"/>
      <c r="J9" s="438"/>
      <c r="K9" s="457"/>
    </row>
    <row r="10" customFormat="false" ht="12.75" hidden="false" customHeight="false" outlineLevel="0" collapsed="false">
      <c r="F10" s="436"/>
      <c r="G10" s="436"/>
      <c r="H10" s="437"/>
      <c r="J10" s="438"/>
    </row>
    <row r="11" customFormat="false" ht="15" hidden="false" customHeight="false" outlineLevel="0" collapsed="false">
      <c r="B11" s="426" t="s">
        <v>67</v>
      </c>
      <c r="F11" s="436"/>
      <c r="G11" s="436"/>
      <c r="H11" s="437"/>
      <c r="J11" s="438"/>
    </row>
    <row r="12" customFormat="false" ht="12.75" hidden="false" customHeight="false" outlineLevel="0" collapsed="false">
      <c r="D12" s="428" t="s">
        <v>644</v>
      </c>
      <c r="E12" s="331" t="n">
        <f aca="false">'Corp I-S&amp;B-S'!$H$31</f>
        <v>379.265</v>
      </c>
      <c r="F12" s="429" t="n">
        <v>17</v>
      </c>
      <c r="G12" s="430" t="s">
        <v>132</v>
      </c>
      <c r="H12" s="431" t="n">
        <v>18</v>
      </c>
      <c r="I12" s="331" t="n">
        <f aca="false">M12+$J$23</f>
        <v>9997.10399999999</v>
      </c>
      <c r="J12" s="439" t="s">
        <v>132</v>
      </c>
      <c r="K12" s="331" t="n">
        <f aca="false">O12+$J$23</f>
        <v>10376.369</v>
      </c>
      <c r="M12" s="439" t="n">
        <f aca="false">$E12*F12</f>
        <v>6447.50499999999</v>
      </c>
      <c r="N12" s="433" t="s">
        <v>132</v>
      </c>
      <c r="O12" s="439" t="n">
        <f aca="false">$E12*H12</f>
        <v>6826.76999999999</v>
      </c>
    </row>
    <row r="13" customFormat="false" ht="12.75" hidden="false" customHeight="false" outlineLevel="0" collapsed="false">
      <c r="D13" s="428" t="s">
        <v>645</v>
      </c>
      <c r="E13" s="46" t="n">
        <f aca="false">'Corp I-S&amp;B-S'!$I$31</f>
        <v>403.641</v>
      </c>
      <c r="F13" s="429" t="n">
        <v>17</v>
      </c>
      <c r="G13" s="430" t="s">
        <v>132</v>
      </c>
      <c r="H13" s="431" t="n">
        <v>18</v>
      </c>
      <c r="I13" s="46" t="n">
        <f aca="false">M13+'Corporate Comparable Trading'!$J$23</f>
        <v>10411.496</v>
      </c>
      <c r="J13" s="334" t="s">
        <v>132</v>
      </c>
      <c r="K13" s="331" t="n">
        <f aca="false">O13+$J$23</f>
        <v>10815.137</v>
      </c>
      <c r="M13" s="46" t="n">
        <f aca="false">$E13*F13</f>
        <v>6861.897</v>
      </c>
      <c r="N13" s="433" t="s">
        <v>132</v>
      </c>
      <c r="O13" s="46" t="n">
        <f aca="false">$E13*H13</f>
        <v>7265.538</v>
      </c>
    </row>
    <row r="14" customFormat="false" ht="12.75" hidden="false" customHeight="false" outlineLevel="0" collapsed="false">
      <c r="D14" s="428" t="s">
        <v>646</v>
      </c>
      <c r="E14" s="46" t="n">
        <f aca="false">'Corp I-S&amp;B-S'!$J$31</f>
        <v>414.37212</v>
      </c>
      <c r="F14" s="429" t="n">
        <v>16.5</v>
      </c>
      <c r="G14" s="430" t="s">
        <v>132</v>
      </c>
      <c r="H14" s="431" t="n">
        <v>17.5</v>
      </c>
      <c r="I14" s="46" t="n">
        <f aca="false">M14+'Corporate Comparable Trading'!$J$23</f>
        <v>10386.73898</v>
      </c>
      <c r="J14" s="334" t="s">
        <v>132</v>
      </c>
      <c r="K14" s="331" t="n">
        <f aca="false">O14+$J$23</f>
        <v>10801.1111</v>
      </c>
      <c r="M14" s="46" t="n">
        <f aca="false">$E14*F14</f>
        <v>6837.13998</v>
      </c>
      <c r="N14" s="433" t="s">
        <v>132</v>
      </c>
      <c r="O14" s="46" t="n">
        <f aca="false">$E14*H14</f>
        <v>7251.5121</v>
      </c>
    </row>
    <row r="15" customFormat="false" ht="12.75" hidden="false" customHeight="false" outlineLevel="0" collapsed="false">
      <c r="H15" s="321"/>
      <c r="J15" s="438"/>
    </row>
    <row r="16" customFormat="false" ht="16.5" hidden="false" customHeight="false" outlineLevel="0" collapsed="false">
      <c r="A16" s="423"/>
      <c r="H16" s="321"/>
      <c r="J16" s="438"/>
    </row>
    <row r="17" customFormat="false" ht="15" hidden="false" customHeight="false" outlineLevel="0" collapsed="false">
      <c r="B17" s="426" t="s">
        <v>636</v>
      </c>
      <c r="E17" s="331" t="n">
        <f aca="false">'Corp I-S&amp;B-S'!N56</f>
        <v>2638.367</v>
      </c>
      <c r="F17" s="368" t="n">
        <f aca="false">'Comp Summary'!G11</f>
        <v>2</v>
      </c>
      <c r="G17" s="433" t="s">
        <v>132</v>
      </c>
      <c r="H17" s="458" t="n">
        <f aca="false">'Comp Summary'!I11</f>
        <v>2.5</v>
      </c>
      <c r="I17" s="331" t="n">
        <f aca="false">M17+$J$23</f>
        <v>8826.333</v>
      </c>
      <c r="J17" s="334" t="s">
        <v>132</v>
      </c>
      <c r="K17" s="331" t="n">
        <f aca="false">O17+$J$23</f>
        <v>10145.5165</v>
      </c>
      <c r="M17" s="439" t="n">
        <f aca="false">$E17*F17</f>
        <v>5276.734</v>
      </c>
      <c r="N17" s="433" t="s">
        <v>132</v>
      </c>
      <c r="O17" s="439" t="n">
        <f aca="false">$E17*H17</f>
        <v>6595.9175</v>
      </c>
    </row>
    <row r="18" customFormat="false" ht="12.75" hidden="false" customHeight="false" outlineLevel="0" collapsed="false">
      <c r="H18" s="321"/>
      <c r="J18" s="438"/>
    </row>
    <row r="19" customFormat="false" ht="12.75" hidden="false" customHeight="false" outlineLevel="0" collapsed="false">
      <c r="G19" s="440" t="s">
        <v>637</v>
      </c>
      <c r="H19" s="321"/>
      <c r="I19" s="441" t="n">
        <v>9000</v>
      </c>
      <c r="J19" s="442" t="s">
        <v>132</v>
      </c>
      <c r="K19" s="441" t="n">
        <v>10250</v>
      </c>
    </row>
    <row r="20" customFormat="false" ht="12.75" hidden="false" customHeight="false" outlineLevel="0" collapsed="false">
      <c r="H20" s="321"/>
      <c r="J20" s="438"/>
    </row>
    <row r="21" customFormat="false" ht="12.75" hidden="false" customHeight="false" outlineLevel="0" collapsed="false">
      <c r="H21" s="321"/>
      <c r="J21" s="438"/>
    </row>
    <row r="22" customFormat="false" ht="12.75" hidden="false" customHeight="false" outlineLevel="0" collapsed="false">
      <c r="H22" s="321"/>
      <c r="J22" s="438"/>
    </row>
    <row r="23" customFormat="false" ht="14.25" hidden="false" customHeight="false" outlineLevel="0" collapsed="false">
      <c r="F23" s="444" t="s">
        <v>638</v>
      </c>
      <c r="H23" s="321"/>
      <c r="J23" s="33" t="n">
        <f aca="false">'Corp I-S&amp;B-S'!$C$71</f>
        <v>3549.599</v>
      </c>
    </row>
    <row r="24" customFormat="false" ht="12.75" hidden="false" customHeight="false" outlineLevel="0" collapsed="false">
      <c r="H24" s="321"/>
    </row>
    <row r="25" customFormat="false" ht="12.75" hidden="false" customHeight="false" outlineLevel="0" collapsed="false">
      <c r="F25" s="445" t="s">
        <v>639</v>
      </c>
      <c r="G25" s="27"/>
      <c r="H25" s="27"/>
      <c r="I25" s="446" t="n">
        <f aca="false">I19-J23</f>
        <v>5450.401</v>
      </c>
      <c r="J25" s="432" t="s">
        <v>132</v>
      </c>
      <c r="K25" s="447" t="n">
        <f aca="false">K19-J23</f>
        <v>6700.401</v>
      </c>
    </row>
    <row r="26" customFormat="false" ht="12.75" hidden="false" customHeight="false" outlineLevel="0" collapsed="false">
      <c r="F26" s="448"/>
      <c r="G26" s="27"/>
      <c r="H26" s="27"/>
      <c r="I26" s="27"/>
      <c r="J26" s="449"/>
      <c r="K26" s="449"/>
    </row>
    <row r="27" customFormat="false" ht="12.75" hidden="false" customHeight="false" outlineLevel="0" collapsed="false">
      <c r="F27" s="27" t="s">
        <v>160</v>
      </c>
      <c r="G27" s="27"/>
      <c r="H27" s="27"/>
      <c r="I27" s="27"/>
      <c r="J27" s="35" t="n">
        <f aca="false">'Corp I-S&amp;B-S'!$H$38</f>
        <v>158.844</v>
      </c>
      <c r="K27" s="449"/>
    </row>
    <row r="28" customFormat="false" ht="12.75" hidden="false" customHeight="false" outlineLevel="0" collapsed="false">
      <c r="F28" s="27"/>
      <c r="G28" s="27"/>
      <c r="H28" s="27"/>
      <c r="I28" s="450"/>
      <c r="J28" s="451"/>
      <c r="K28" s="450"/>
    </row>
    <row r="29" customFormat="false" ht="13.5" hidden="false" customHeight="false" outlineLevel="0" collapsed="false">
      <c r="F29" s="27" t="s">
        <v>161</v>
      </c>
      <c r="G29" s="27"/>
      <c r="H29" s="27"/>
      <c r="I29" s="452" t="n">
        <f aca="false">I25/J27</f>
        <v>34.3129170758732</v>
      </c>
      <c r="J29" s="432" t="s">
        <v>132</v>
      </c>
      <c r="K29" s="452" t="n">
        <f aca="false">K25/J27</f>
        <v>42.1822731736798</v>
      </c>
    </row>
    <row r="30" customFormat="false" ht="13.5" hidden="false" customHeight="false" outlineLevel="0" collapsed="false">
      <c r="F30" s="27"/>
      <c r="G30" s="27"/>
      <c r="H30" s="27"/>
      <c r="I30" s="450"/>
      <c r="J30" s="451"/>
      <c r="K30" s="450"/>
    </row>
    <row r="31" customFormat="false" ht="12.75" hidden="false" customHeight="false" outlineLevel="0" collapsed="false">
      <c r="F31" s="27" t="s">
        <v>162</v>
      </c>
      <c r="G31" s="27"/>
      <c r="H31" s="459"/>
      <c r="J31" s="454" t="n">
        <f aca="false">+'Corp I-S&amp;B-S'!D54</f>
        <v>21.4375</v>
      </c>
      <c r="K31" s="454"/>
    </row>
    <row r="32" customFormat="false" ht="12.75" hidden="false" customHeight="false" outlineLevel="0" collapsed="false">
      <c r="F32" s="27"/>
      <c r="G32" s="27"/>
      <c r="H32" s="27"/>
      <c r="I32" s="450"/>
      <c r="J32" s="451"/>
      <c r="K32" s="450"/>
    </row>
    <row r="33" customFormat="false" ht="13.5" hidden="false" customHeight="false" outlineLevel="0" collapsed="false">
      <c r="F33" s="27" t="s">
        <v>163</v>
      </c>
      <c r="G33" s="27"/>
      <c r="H33" s="27"/>
      <c r="I33" s="455" t="n">
        <f aca="false">-(J31-I29)/J31</f>
        <v>0.600602545813327</v>
      </c>
      <c r="J33" s="432" t="s">
        <v>132</v>
      </c>
      <c r="K33" s="455" t="n">
        <f aca="false">-(J31-K29)/J31</f>
        <v>0.967686212183316</v>
      </c>
    </row>
    <row r="34" customFormat="false" ht="13.5" hidden="false" customHeight="false" outlineLevel="0" collapsed="false">
      <c r="H34" s="321"/>
    </row>
    <row r="35" customFormat="false" ht="12.75" hidden="false" customHeight="false" outlineLevel="0" collapsed="false">
      <c r="H35" s="321"/>
    </row>
    <row r="36" customFormat="false" ht="12.75" hidden="false" customHeight="false" outlineLevel="0" collapsed="false">
      <c r="D36" s="0" t="s">
        <v>647</v>
      </c>
      <c r="H36" s="321"/>
    </row>
    <row r="37" customFormat="false" ht="12.75" hidden="false" customHeight="false" outlineLevel="0" collapsed="false">
      <c r="D37" s="0" t="s">
        <v>641</v>
      </c>
      <c r="H37" s="321"/>
    </row>
  </sheetData>
  <mergeCells count="3">
    <mergeCell ref="F5:H5"/>
    <mergeCell ref="I5:K5"/>
    <mergeCell ref="M5:O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K52" activeCellId="0" sqref="K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99"/>
  </cols>
  <sheetData>
    <row r="1" customFormat="false" ht="18" hidden="false" customHeight="false" outlineLevel="0" collapsed="false">
      <c r="A1" s="460" t="s">
        <v>648</v>
      </c>
    </row>
    <row r="38" customFormat="false" ht="18" hidden="false" customHeight="false" outlineLevel="0" collapsed="false">
      <c r="A38" s="460"/>
    </row>
    <row r="56" customFormat="false" ht="18" hidden="false" customHeight="false" outlineLevel="0" collapsed="false">
      <c r="A56" s="460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1" scale="8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60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5.71"/>
    <col collapsed="false" customWidth="true" hidden="false" outlineLevel="0" max="2" min="2" style="27" width="40.28"/>
    <col collapsed="false" customWidth="true" hidden="false" outlineLevel="0" max="3" min="3" style="27" width="16.7"/>
    <col collapsed="false" customWidth="true" hidden="false" outlineLevel="0" max="4" min="4" style="27" width="21.13"/>
    <col collapsed="false" customWidth="true" hidden="false" outlineLevel="0" max="5" min="5" style="27" width="22.56"/>
    <col collapsed="false" customWidth="true" hidden="false" outlineLevel="0" max="6" min="6" style="27" width="20.13"/>
    <col collapsed="false" customWidth="true" hidden="false" outlineLevel="0" max="7" min="7" style="27" width="17.7"/>
    <col collapsed="false" customWidth="true" hidden="false" outlineLevel="0" max="8" min="8" style="27" width="15.7"/>
    <col collapsed="false" customWidth="true" hidden="false" outlineLevel="0" max="9" min="9" style="27" width="20.56"/>
    <col collapsed="false" customWidth="true" hidden="false" outlineLevel="0" max="10" min="10" style="27" width="17.7"/>
    <col collapsed="false" customWidth="true" hidden="false" outlineLevel="0" max="11" min="11" style="27" width="19.28"/>
    <col collapsed="false" customWidth="true" hidden="false" outlineLevel="0" max="12" min="12" style="27" width="12.56"/>
    <col collapsed="false" customWidth="true" hidden="false" outlineLevel="0" max="13" min="13" style="27" width="17.7"/>
    <col collapsed="false" customWidth="false" hidden="false" outlineLevel="0" max="257" min="14" style="27" width="9.14"/>
  </cols>
  <sheetData>
    <row r="1" customFormat="false" ht="12.75" hidden="false" customHeight="false" outlineLevel="0" collapsed="false">
      <c r="A1" s="28" t="s">
        <v>76</v>
      </c>
    </row>
    <row r="2" customFormat="false" ht="12.75" hidden="false" customHeight="false" outlineLevel="0" collapsed="false">
      <c r="C2" s="29" t="s">
        <v>77</v>
      </c>
      <c r="D2" s="29" t="s">
        <v>78</v>
      </c>
      <c r="E2" s="30" t="s">
        <v>79</v>
      </c>
      <c r="F2" s="30" t="s">
        <v>80</v>
      </c>
      <c r="G2" s="30" t="s">
        <v>81</v>
      </c>
      <c r="H2" s="29" t="s">
        <v>82</v>
      </c>
      <c r="I2" s="30" t="s">
        <v>83</v>
      </c>
      <c r="J2" s="30" t="s">
        <v>84</v>
      </c>
      <c r="K2" s="30" t="s">
        <v>85</v>
      </c>
      <c r="L2" s="31" t="s">
        <v>86</v>
      </c>
      <c r="M2" s="31" t="s">
        <v>87</v>
      </c>
    </row>
    <row r="3" customFormat="false" ht="12.75" hidden="false" customHeight="false" outlineLevel="0" collapsed="false">
      <c r="B3" s="27" t="s">
        <v>88</v>
      </c>
      <c r="C3" s="32" t="n">
        <v>1174.818</v>
      </c>
      <c r="D3" s="32" t="n">
        <v>720.168</v>
      </c>
      <c r="E3" s="33" t="n">
        <f aca="false">+($D$3/$D$7)*E7</f>
        <v>435.541652672151</v>
      </c>
      <c r="F3" s="33" t="n">
        <f aca="false">+($D$3/$D$7)*F7</f>
        <v>209.383536761709</v>
      </c>
      <c r="G3" s="33" t="n">
        <f aca="false">+(D3/D7)*G7</f>
        <v>75.2428105661394</v>
      </c>
      <c r="H3" s="32" t="n">
        <v>460.748</v>
      </c>
      <c r="I3" s="33" t="n">
        <f aca="false">+($H$3/$H$7)*I7</f>
        <v>227.745508071123</v>
      </c>
      <c r="J3" s="33" t="n">
        <f aca="false">+($H$3/$H$7)*J7</f>
        <v>233.002491928877</v>
      </c>
      <c r="K3" s="33" t="n">
        <f aca="false">+I3+E3</f>
        <v>663.287160743275</v>
      </c>
    </row>
    <row r="4" customFormat="false" ht="12.75" hidden="false" customHeight="false" outlineLevel="0" collapsed="false">
      <c r="B4" s="27" t="s">
        <v>89</v>
      </c>
      <c r="C4" s="34" t="n">
        <f aca="false">98/284</f>
        <v>0.345070422535211</v>
      </c>
      <c r="D4" s="34" t="n">
        <f aca="false">98/284</f>
        <v>0.345070422535211</v>
      </c>
      <c r="E4" s="34" t="n">
        <f aca="false">98/284</f>
        <v>0.345070422535211</v>
      </c>
      <c r="F4" s="34" t="n">
        <f aca="false">98/284</f>
        <v>0.345070422535211</v>
      </c>
      <c r="G4" s="34" t="n">
        <f aca="false">98/284</f>
        <v>0.345070422535211</v>
      </c>
      <c r="H4" s="34" t="n">
        <f aca="false">98/284</f>
        <v>0.345070422535211</v>
      </c>
      <c r="I4" s="34" t="n">
        <f aca="false">98/284</f>
        <v>0.345070422535211</v>
      </c>
      <c r="J4" s="34" t="n">
        <f aca="false">98/284</f>
        <v>0.345070422535211</v>
      </c>
      <c r="K4" s="34" t="n">
        <f aca="false">98/284</f>
        <v>0.345070422535211</v>
      </c>
    </row>
    <row r="5" customFormat="false" ht="12.75" hidden="false" customHeight="false" outlineLevel="0" collapsed="false">
      <c r="B5" s="27" t="s">
        <v>90</v>
      </c>
      <c r="C5" s="35" t="n">
        <f aca="false">C3/C4</f>
        <v>3404.5746122449</v>
      </c>
      <c r="D5" s="35" t="n">
        <f aca="false">D3/D4</f>
        <v>2087.01746938776</v>
      </c>
      <c r="E5" s="35" t="n">
        <f aca="false">E3/E4</f>
        <v>1262.18193223358</v>
      </c>
      <c r="F5" s="35" t="n">
        <f aca="false">F3/F4</f>
        <v>606.784943268627</v>
      </c>
      <c r="G5" s="35" t="n">
        <f aca="false">G3/G4</f>
        <v>218.050593885547</v>
      </c>
      <c r="H5" s="35" t="n">
        <f aca="false">H3/H4</f>
        <v>1335.22889795918</v>
      </c>
      <c r="I5" s="35" t="n">
        <f aca="false">I3/I4</f>
        <v>659.997186655092</v>
      </c>
      <c r="J5" s="35" t="n">
        <f aca="false">J3/J4</f>
        <v>675.231711304092</v>
      </c>
      <c r="K5" s="33" t="n">
        <f aca="false">+I5+E5</f>
        <v>1922.17911888867</v>
      </c>
    </row>
    <row r="6" customFormat="false" ht="12.75" hidden="false" customHeight="false" outlineLevel="0" collapsed="false">
      <c r="K6" s="33" t="n">
        <f aca="false">+I6+E6</f>
        <v>0</v>
      </c>
      <c r="L6" s="36"/>
      <c r="M6" s="36"/>
    </row>
    <row r="7" customFormat="false" ht="12.75" hidden="false" customHeight="false" outlineLevel="0" collapsed="false">
      <c r="B7" s="27" t="s">
        <v>91</v>
      </c>
      <c r="C7" s="32" t="n">
        <v>6168.418</v>
      </c>
      <c r="D7" s="32" t="n">
        <v>3609.597</v>
      </c>
      <c r="E7" s="33" t="n">
        <f aca="false">+D7-F7-G7</f>
        <v>2183.00430296881</v>
      </c>
      <c r="F7" s="33" t="n">
        <f aca="false">+'Tax Basis'!F28</f>
        <v>1049.463717</v>
      </c>
      <c r="G7" s="37" t="n">
        <f aca="false">+'Tax Basis'!F29</f>
        <v>377.128980031194</v>
      </c>
      <c r="H7" s="32" t="n">
        <v>2558.821</v>
      </c>
      <c r="I7" s="33" t="n">
        <f aca="false">+H7-J7</f>
        <v>1264.812845</v>
      </c>
      <c r="J7" s="37" t="n">
        <f aca="false">+'Tax Basis'!F30</f>
        <v>1294.008155</v>
      </c>
      <c r="K7" s="33" t="n">
        <f aca="false">+I7+E7</f>
        <v>3447.81714796881</v>
      </c>
      <c r="L7" s="36" t="n">
        <f aca="false">+K7*L$11</f>
        <v>3270.60358882997</v>
      </c>
      <c r="M7" s="36" t="n">
        <f aca="false">+L7*M$11</f>
        <v>168.105000246389</v>
      </c>
    </row>
    <row r="8" customFormat="false" ht="15" hidden="false" customHeight="false" outlineLevel="0" collapsed="false">
      <c r="B8" s="27" t="s">
        <v>90</v>
      </c>
      <c r="C8" s="38" t="n">
        <f aca="false">C5</f>
        <v>3404.5746122449</v>
      </c>
      <c r="D8" s="38" t="n">
        <f aca="false">D5</f>
        <v>2087.01746938776</v>
      </c>
      <c r="E8" s="38" t="n">
        <f aca="false">E5</f>
        <v>1262.18193223358</v>
      </c>
      <c r="F8" s="38" t="n">
        <f aca="false">F5</f>
        <v>606.784943268627</v>
      </c>
      <c r="G8" s="38" t="n">
        <f aca="false">G5</f>
        <v>218.050593885547</v>
      </c>
      <c r="H8" s="38" t="n">
        <f aca="false">H5</f>
        <v>1335.22889795918</v>
      </c>
      <c r="I8" s="38" t="n">
        <f aca="false">I5</f>
        <v>659.997186655092</v>
      </c>
      <c r="J8" s="38" t="n">
        <f aca="false">J5</f>
        <v>675.231711304092</v>
      </c>
      <c r="K8" s="38" t="n">
        <f aca="false">+I8+E8</f>
        <v>1922.17911888867</v>
      </c>
      <c r="L8" s="36"/>
      <c r="M8" s="36"/>
    </row>
    <row r="9" customFormat="false" ht="12.75" hidden="false" customHeight="false" outlineLevel="0" collapsed="false">
      <c r="B9" s="39" t="s">
        <v>76</v>
      </c>
      <c r="C9" s="40" t="n">
        <f aca="false">C7-C8</f>
        <v>2763.8433877551</v>
      </c>
      <c r="D9" s="40" t="n">
        <f aca="false">D7-D8</f>
        <v>1522.57953061225</v>
      </c>
      <c r="E9" s="40" t="n">
        <f aca="false">E7-E8</f>
        <v>920.822370735225</v>
      </c>
      <c r="F9" s="40" t="n">
        <f aca="false">F7-F8</f>
        <v>442.678773731373</v>
      </c>
      <c r="G9" s="40" t="n">
        <f aca="false">G7-G8</f>
        <v>159.078386145647</v>
      </c>
      <c r="H9" s="40" t="n">
        <f aca="false">H7-H8</f>
        <v>1223.59210204082</v>
      </c>
      <c r="I9" s="40" t="n">
        <f aca="false">I7-I8</f>
        <v>604.815658344908</v>
      </c>
      <c r="J9" s="40" t="n">
        <f aca="false">J7-J8</f>
        <v>618.776443695909</v>
      </c>
      <c r="K9" s="33" t="n">
        <f aca="false">+I9+E9</f>
        <v>1525.63802908013</v>
      </c>
      <c r="L9" s="36" t="n">
        <f aca="false">+K9*L$11</f>
        <v>1447.22211156255</v>
      </c>
      <c r="M9" s="36" t="n">
        <f aca="false">+L9*M$11</f>
        <v>74.385435841778</v>
      </c>
    </row>
    <row r="10" customFormat="false" ht="12.75" hidden="false" customHeight="false" outlineLevel="0" collapsed="false">
      <c r="C10" s="35"/>
      <c r="D10" s="35"/>
      <c r="E10" s="35"/>
      <c r="F10" s="35"/>
      <c r="G10" s="35"/>
      <c r="H10" s="35"/>
      <c r="I10" s="35"/>
      <c r="J10" s="35"/>
      <c r="K10" s="35"/>
    </row>
    <row r="11" customFormat="false" ht="12.75" hidden="false" customHeight="false" outlineLevel="0" collapsed="false">
      <c r="B11" s="27" t="s">
        <v>92</v>
      </c>
      <c r="C11" s="41" t="n">
        <v>10312.504</v>
      </c>
      <c r="D11" s="42" t="n">
        <f aca="false">5837.628+431.897</f>
        <v>6269.525</v>
      </c>
      <c r="E11" s="41" t="n">
        <v>2966.754</v>
      </c>
      <c r="F11" s="42"/>
      <c r="G11" s="42"/>
      <c r="H11" s="42" t="n">
        <v>4474.876</v>
      </c>
      <c r="I11" s="43" t="n">
        <v>2228.631</v>
      </c>
      <c r="J11" s="42"/>
      <c r="K11" s="42"/>
      <c r="L11" s="44" t="n">
        <f aca="false">+'Sum of Parts-Slide'!J30/('Sum of Parts-Slide'!J30+'Sum of Parts-Slide'!J36)</f>
        <v>0.948601230421041</v>
      </c>
      <c r="M11" s="44" t="n">
        <f aca="false">1-L11</f>
        <v>0.0513987695789592</v>
      </c>
      <c r="N11" s="45" t="n">
        <v>1</v>
      </c>
    </row>
    <row r="12" customFormat="false" ht="12.75" hidden="false" customHeight="false" outlineLevel="0" collapsed="false">
      <c r="B12" s="27" t="s">
        <v>93</v>
      </c>
      <c r="C12" s="43" t="n">
        <v>4206.192</v>
      </c>
      <c r="D12" s="35" t="n">
        <f aca="false">2246.188+152</f>
        <v>2398.188</v>
      </c>
      <c r="E12" s="43" t="n">
        <f aca="false">E11/C11*C12</f>
        <v>1210.05887035467</v>
      </c>
      <c r="F12" s="35"/>
      <c r="G12" s="35"/>
      <c r="H12" s="35" t="n">
        <v>1960</v>
      </c>
      <c r="I12" s="43" t="n">
        <f aca="false">I11/C11*C12</f>
        <v>908.998423966866</v>
      </c>
      <c r="J12" s="35"/>
      <c r="K12" s="35"/>
    </row>
    <row r="13" customFormat="false" ht="12.75" hidden="false" customHeight="false" outlineLevel="0" collapsed="false">
      <c r="C13" s="43"/>
      <c r="D13" s="35"/>
      <c r="E13" s="43"/>
      <c r="F13" s="35"/>
      <c r="G13" s="35"/>
      <c r="H13" s="35"/>
      <c r="I13" s="43"/>
      <c r="J13" s="35"/>
      <c r="K13" s="35"/>
    </row>
    <row r="14" customFormat="false" ht="12.75" hidden="false" customHeight="false" outlineLevel="0" collapsed="false">
      <c r="B14" s="28" t="s">
        <v>94</v>
      </c>
      <c r="C14" s="0"/>
      <c r="D14" s="0"/>
      <c r="E14" s="46"/>
      <c r="F14" s="47"/>
      <c r="H14" s="48"/>
    </row>
    <row r="15" customFormat="false" ht="12.75" hidden="false" customHeight="false" outlineLevel="0" collapsed="false">
      <c r="B15" s="0" t="s">
        <v>95</v>
      </c>
      <c r="C15" s="0"/>
      <c r="D15" s="0"/>
      <c r="E15" s="46"/>
      <c r="F15" s="0"/>
    </row>
    <row r="16" customFormat="false" ht="12.75" hidden="false" customHeight="false" outlineLevel="0" collapsed="false">
      <c r="C16" s="0"/>
      <c r="D16" s="0"/>
      <c r="E16" s="46"/>
      <c r="F16" s="0"/>
    </row>
    <row r="17" customFormat="false" ht="12.75" hidden="false" customHeight="false" outlineLevel="0" collapsed="false">
      <c r="B17" s="49" t="s">
        <v>96</v>
      </c>
      <c r="C17" s="0"/>
      <c r="D17" s="50" t="s">
        <v>97</v>
      </c>
      <c r="E17" s="50" t="s">
        <v>98</v>
      </c>
      <c r="F17" s="50" t="s">
        <v>99</v>
      </c>
    </row>
    <row r="18" customFormat="false" ht="12.75" hidden="false" customHeight="false" outlineLevel="0" collapsed="false">
      <c r="B18" s="28" t="s">
        <v>100</v>
      </c>
      <c r="C18" s="0" t="s">
        <v>101</v>
      </c>
      <c r="D18" s="43" t="n">
        <v>419.415394</v>
      </c>
      <c r="E18" s="43" t="n">
        <v>1105.549592</v>
      </c>
      <c r="F18" s="51" t="n">
        <f aca="false">E18+D18</f>
        <v>1524.964986</v>
      </c>
    </row>
    <row r="19" customFormat="false" ht="12.75" hidden="false" customHeight="false" outlineLevel="0" collapsed="false">
      <c r="B19" s="28"/>
      <c r="C19" s="0" t="s">
        <v>102</v>
      </c>
      <c r="D19" s="43" t="n">
        <v>0</v>
      </c>
      <c r="E19" s="43" t="n">
        <v>548.002261</v>
      </c>
      <c r="F19" s="51" t="n">
        <f aca="false">E19+D19</f>
        <v>548.002261</v>
      </c>
    </row>
    <row r="20" customFormat="false" ht="12.75" hidden="false" customHeight="false" outlineLevel="0" collapsed="false">
      <c r="B20" s="28" t="s">
        <v>103</v>
      </c>
      <c r="C20" s="0" t="s">
        <v>101</v>
      </c>
      <c r="D20" s="43" t="n">
        <v>625.829285</v>
      </c>
      <c r="E20" s="43" t="n">
        <v>1385.622258</v>
      </c>
      <c r="F20" s="51" t="n">
        <f aca="false">E20+D20</f>
        <v>2011.451543</v>
      </c>
    </row>
    <row r="21" customFormat="false" ht="12.75" hidden="false" customHeight="false" outlineLevel="0" collapsed="false">
      <c r="B21" s="28"/>
      <c r="C21" s="0"/>
      <c r="D21" s="43"/>
      <c r="E21" s="43"/>
      <c r="F21" s="51" t="n">
        <f aca="false">SUM(F18:F20)</f>
        <v>4084.41879</v>
      </c>
    </row>
    <row r="22" customFormat="false" ht="12.75" hidden="false" customHeight="false" outlineLevel="0" collapsed="false">
      <c r="B22" s="49" t="s">
        <v>104</v>
      </c>
      <c r="C22" s="0"/>
      <c r="D22" s="43"/>
      <c r="E22" s="43"/>
      <c r="F22" s="52"/>
    </row>
    <row r="23" customFormat="false" ht="12.75" hidden="false" customHeight="false" outlineLevel="0" collapsed="false">
      <c r="B23" s="28" t="s">
        <v>100</v>
      </c>
      <c r="C23" s="0" t="s">
        <v>101</v>
      </c>
      <c r="D23" s="43" t="n">
        <v>141.351017</v>
      </c>
      <c r="E23" s="43" t="n">
        <v>334.150252</v>
      </c>
      <c r="F23" s="51" t="n">
        <f aca="false">E23+D23</f>
        <v>475.501269</v>
      </c>
    </row>
    <row r="24" customFormat="false" ht="12.75" hidden="false" customHeight="false" outlineLevel="0" collapsed="false">
      <c r="B24" s="28"/>
      <c r="C24" s="0" t="s">
        <v>102</v>
      </c>
      <c r="D24" s="43"/>
      <c r="E24" s="43"/>
      <c r="F24" s="51" t="n">
        <f aca="false">(F23/F18)*F19</f>
        <v>170.873280968806</v>
      </c>
    </row>
    <row r="25" customFormat="false" ht="12.75" hidden="false" customHeight="false" outlineLevel="0" collapsed="false">
      <c r="B25" s="28" t="s">
        <v>103</v>
      </c>
      <c r="C25" s="0" t="s">
        <v>101</v>
      </c>
      <c r="D25" s="43" t="n">
        <v>250.720035</v>
      </c>
      <c r="E25" s="43" t="n">
        <v>466.723353</v>
      </c>
      <c r="F25" s="51" t="n">
        <f aca="false">E25+D25</f>
        <v>717.443388</v>
      </c>
    </row>
    <row r="26" customFormat="false" ht="12.75" hidden="false" customHeight="false" outlineLevel="0" collapsed="false">
      <c r="B26" s="28"/>
      <c r="C26" s="0"/>
      <c r="D26" s="43"/>
      <c r="E26" s="43"/>
      <c r="F26" s="51" t="n">
        <f aca="false">F25+F23</f>
        <v>1192.944657</v>
      </c>
    </row>
    <row r="27" customFormat="false" ht="12.75" hidden="false" customHeight="false" outlineLevel="0" collapsed="false">
      <c r="B27" s="49" t="s">
        <v>105</v>
      </c>
      <c r="C27" s="0"/>
      <c r="D27" s="53" t="n">
        <f aca="false">D20+D18-D23-D25</f>
        <v>653.173627</v>
      </c>
      <c r="E27" s="35" t="n">
        <f aca="false">E20+E18-E23-E25</f>
        <v>1690.298245</v>
      </c>
      <c r="F27" s="52"/>
    </row>
    <row r="28" customFormat="false" ht="12.75" hidden="false" customHeight="false" outlineLevel="0" collapsed="false">
      <c r="B28" s="28" t="s">
        <v>100</v>
      </c>
      <c r="C28" s="0" t="s">
        <v>101</v>
      </c>
      <c r="D28" s="53" t="n">
        <f aca="false">+D18-D23</f>
        <v>278.064377</v>
      </c>
      <c r="E28" s="53" t="n">
        <f aca="false">+E18-E23</f>
        <v>771.39934</v>
      </c>
      <c r="F28" s="53" t="n">
        <f aca="false">+F18-F23</f>
        <v>1049.463717</v>
      </c>
    </row>
    <row r="29" customFormat="false" ht="12.75" hidden="false" customHeight="false" outlineLevel="0" collapsed="false">
      <c r="B29" s="28"/>
      <c r="C29" s="0" t="s">
        <v>102</v>
      </c>
      <c r="D29" s="53" t="n">
        <f aca="false">+D19-D24</f>
        <v>0</v>
      </c>
      <c r="E29" s="53" t="n">
        <f aca="false">+E19-E24</f>
        <v>548.002261</v>
      </c>
      <c r="F29" s="53" t="n">
        <f aca="false">+F19-F24</f>
        <v>377.128980031194</v>
      </c>
    </row>
    <row r="30" customFormat="false" ht="12.75" hidden="false" customHeight="false" outlineLevel="0" collapsed="false">
      <c r="B30" s="28" t="s">
        <v>103</v>
      </c>
      <c r="C30" s="0" t="s">
        <v>101</v>
      </c>
      <c r="D30" s="53" t="n">
        <f aca="false">+D20-D25</f>
        <v>375.10925</v>
      </c>
      <c r="E30" s="53" t="n">
        <f aca="false">+E20-E25</f>
        <v>918.898905</v>
      </c>
      <c r="F30" s="53" t="n">
        <f aca="false">+F20-F25</f>
        <v>1294.008155</v>
      </c>
    </row>
    <row r="31" customFormat="false" ht="12.75" hidden="false" customHeight="false" outlineLevel="0" collapsed="false">
      <c r="B31" s="27" t="s">
        <v>106</v>
      </c>
    </row>
    <row r="33" customFormat="false" ht="12.75" hidden="false" customHeight="false" outlineLevel="0" collapsed="false">
      <c r="B33" s="28" t="s">
        <v>107</v>
      </c>
      <c r="C33" s="0"/>
      <c r="D33" s="0"/>
      <c r="E33" s="46"/>
      <c r="F33" s="0"/>
    </row>
    <row r="34" customFormat="false" ht="12.75" hidden="false" customHeight="false" outlineLevel="0" collapsed="false">
      <c r="B34" s="0"/>
      <c r="C34" s="0"/>
      <c r="D34" s="0"/>
      <c r="E34" s="46"/>
      <c r="F34" s="0"/>
    </row>
    <row r="35" customFormat="false" ht="12.75" hidden="false" customHeight="false" outlineLevel="0" collapsed="false">
      <c r="B35" s="28" t="s">
        <v>100</v>
      </c>
      <c r="C35" s="28" t="s">
        <v>108</v>
      </c>
      <c r="D35" s="0" t="s">
        <v>101</v>
      </c>
      <c r="E35" s="46" t="n">
        <v>4806.958</v>
      </c>
      <c r="F35" s="54" t="n">
        <f aca="false">E35/E37</f>
        <v>0.859437246944743</v>
      </c>
    </row>
    <row r="36" customFormat="false" ht="15" hidden="false" customHeight="false" outlineLevel="0" collapsed="false">
      <c r="B36" s="0"/>
      <c r="C36" s="0"/>
      <c r="D36" s="0" t="s">
        <v>102</v>
      </c>
      <c r="E36" s="38" t="n">
        <v>786.188</v>
      </c>
      <c r="F36" s="54" t="n">
        <f aca="false">E36/E37</f>
        <v>0.140562753055257</v>
      </c>
    </row>
    <row r="37" customFormat="false" ht="12.75" hidden="false" customHeight="false" outlineLevel="0" collapsed="false">
      <c r="B37" s="0"/>
      <c r="C37" s="0"/>
      <c r="D37" s="0"/>
      <c r="E37" s="46" t="n">
        <f aca="false">SUM(E35:E36)</f>
        <v>5593.146</v>
      </c>
      <c r="F37" s="0"/>
    </row>
    <row r="38" customFormat="false" ht="12.75" hidden="false" customHeight="false" outlineLevel="0" collapsed="false">
      <c r="B38" s="0"/>
      <c r="C38" s="0"/>
      <c r="D38" s="0"/>
      <c r="E38" s="46"/>
      <c r="F38" s="0"/>
    </row>
    <row r="39" customFormat="false" ht="15" hidden="false" customHeight="false" outlineLevel="0" collapsed="false">
      <c r="B39" s="0"/>
      <c r="C39" s="28" t="s">
        <v>109</v>
      </c>
      <c r="D39" s="0" t="s">
        <v>110</v>
      </c>
      <c r="E39" s="38" t="n">
        <v>3755.693</v>
      </c>
      <c r="F39" s="0"/>
    </row>
    <row r="40" customFormat="false" ht="12.75" hidden="false" customHeight="false" outlineLevel="0" collapsed="false">
      <c r="B40" s="0"/>
      <c r="C40" s="0"/>
      <c r="D40" s="0" t="s">
        <v>101</v>
      </c>
      <c r="E40" s="55" t="n">
        <f aca="false">E39*F35</f>
        <v>3227.78245228964</v>
      </c>
      <c r="F40" s="0"/>
    </row>
    <row r="41" customFormat="false" ht="12.75" hidden="false" customHeight="false" outlineLevel="0" collapsed="false">
      <c r="B41" s="0"/>
      <c r="C41" s="0"/>
      <c r="D41" s="0" t="s">
        <v>102</v>
      </c>
      <c r="E41" s="55" t="n">
        <f aca="false">E39*F36</f>
        <v>527.910547710358</v>
      </c>
      <c r="F41" s="0"/>
    </row>
    <row r="42" customFormat="false" ht="12.75" hidden="false" customHeight="false" outlineLevel="0" collapsed="false">
      <c r="B42" s="0"/>
      <c r="C42" s="0"/>
      <c r="D42" s="0"/>
      <c r="E42" s="46"/>
      <c r="F42" s="0"/>
    </row>
    <row r="43" customFormat="false" ht="12.75" hidden="false" customHeight="false" outlineLevel="0" collapsed="false">
      <c r="B43" s="0"/>
      <c r="C43" s="0"/>
      <c r="D43" s="0"/>
      <c r="E43" s="46"/>
      <c r="F43" s="0"/>
    </row>
    <row r="44" customFormat="false" ht="12.75" hidden="false" customHeight="false" outlineLevel="0" collapsed="false">
      <c r="B44" s="28" t="s">
        <v>103</v>
      </c>
      <c r="C44" s="28" t="s">
        <v>109</v>
      </c>
      <c r="D44" s="0" t="s">
        <v>110</v>
      </c>
      <c r="E44" s="55" t="n">
        <v>2614.535</v>
      </c>
      <c r="F44" s="0"/>
    </row>
    <row r="45" customFormat="false" ht="12.75" hidden="false" customHeight="false" outlineLevel="0" collapsed="false">
      <c r="B45" s="0"/>
      <c r="C45" s="0"/>
      <c r="D45" s="0"/>
      <c r="E45" s="46"/>
      <c r="F45" s="0"/>
    </row>
    <row r="46" customFormat="false" ht="12.75" hidden="false" customHeight="false" outlineLevel="0" collapsed="false">
      <c r="B46" s="56" t="s">
        <v>111</v>
      </c>
      <c r="C46" s="57"/>
      <c r="D46" s="58"/>
    </row>
    <row r="47" customFormat="false" ht="12.75" hidden="false" customHeight="false" outlineLevel="0" collapsed="false">
      <c r="B47" s="59" t="s">
        <v>112</v>
      </c>
      <c r="C47" s="60" t="s">
        <v>113</v>
      </c>
      <c r="D47" s="61" t="s">
        <v>114</v>
      </c>
    </row>
    <row r="48" customFormat="false" ht="12.75" hidden="false" customHeight="false" outlineLevel="0" collapsed="false">
      <c r="B48" s="59" t="s">
        <v>115</v>
      </c>
      <c r="C48" s="36" t="n">
        <v>4875.633</v>
      </c>
      <c r="D48" s="62" t="n">
        <f aca="false">C48+C48/($C$48+$C$49)*$C$50</f>
        <v>5037.40308934853</v>
      </c>
    </row>
    <row r="49" customFormat="false" ht="12.75" hidden="false" customHeight="false" outlineLevel="0" collapsed="false">
      <c r="B49" s="59" t="s">
        <v>116</v>
      </c>
      <c r="C49" s="36" t="n">
        <v>824.427</v>
      </c>
      <c r="D49" s="62" t="n">
        <f aca="false">C49+C49/($C$48+$C$49)*$C$50</f>
        <v>851.780910651467</v>
      </c>
    </row>
    <row r="50" customFormat="false" ht="12.75" hidden="false" customHeight="false" outlineLevel="0" collapsed="false">
      <c r="B50" s="59" t="s">
        <v>117</v>
      </c>
      <c r="C50" s="36" t="n">
        <v>189.124</v>
      </c>
      <c r="D50" s="63"/>
    </row>
    <row r="51" customFormat="false" ht="12.75" hidden="false" customHeight="false" outlineLevel="0" collapsed="false">
      <c r="B51" s="59" t="s">
        <v>118</v>
      </c>
      <c r="C51" s="36" t="n">
        <v>-2279.587</v>
      </c>
      <c r="D51" s="62" t="n">
        <v>-2279.587</v>
      </c>
    </row>
    <row r="52" customFormat="false" ht="12.75" hidden="false" customHeight="false" outlineLevel="0" collapsed="false">
      <c r="B52" s="59" t="s">
        <v>119</v>
      </c>
      <c r="C52" s="36" t="n">
        <f aca="false">SUM(C48:C51)</f>
        <v>3609.597</v>
      </c>
      <c r="D52" s="62" t="n">
        <f aca="false">SUM(D48:D51)</f>
        <v>3609.597</v>
      </c>
    </row>
    <row r="53" customFormat="false" ht="12.75" hidden="false" customHeight="false" outlineLevel="0" collapsed="false">
      <c r="B53" s="59"/>
      <c r="C53" s="36"/>
      <c r="D53" s="62"/>
    </row>
    <row r="54" customFormat="false" ht="12.75" hidden="false" customHeight="false" outlineLevel="0" collapsed="false">
      <c r="B54" s="59" t="s">
        <v>103</v>
      </c>
      <c r="C54" s="64" t="s">
        <v>113</v>
      </c>
      <c r="D54" s="65"/>
    </row>
    <row r="55" customFormat="false" ht="12.75" hidden="false" customHeight="false" outlineLevel="0" collapsed="false">
      <c r="B55" s="59" t="s">
        <v>115</v>
      </c>
      <c r="C55" s="36" t="n">
        <v>4539.111</v>
      </c>
      <c r="D55" s="62"/>
    </row>
    <row r="56" customFormat="false" ht="12.75" hidden="false" customHeight="false" outlineLevel="0" collapsed="false">
      <c r="B56" s="59" t="s">
        <v>118</v>
      </c>
      <c r="C56" s="36" t="n">
        <v>-1980.29</v>
      </c>
      <c r="D56" s="62"/>
    </row>
    <row r="57" customFormat="false" ht="12.75" hidden="false" customHeight="false" outlineLevel="0" collapsed="false">
      <c r="B57" s="59" t="s">
        <v>119</v>
      </c>
      <c r="C57" s="36" t="n">
        <f aca="false">SUM(C55:C56)</f>
        <v>2558.821</v>
      </c>
      <c r="D57" s="62"/>
    </row>
    <row r="58" customFormat="false" ht="12.75" hidden="false" customHeight="false" outlineLevel="0" collapsed="false">
      <c r="B58" s="66"/>
      <c r="C58" s="67"/>
      <c r="D58" s="68"/>
    </row>
    <row r="60" customFormat="false" ht="12.75" hidden="false" customHeight="false" outlineLevel="0" collapsed="false">
      <c r="B60" s="59" t="s">
        <v>120</v>
      </c>
      <c r="C60" s="51" t="n">
        <f aca="false">C52+C57</f>
        <v>6168.418</v>
      </c>
      <c r="D60" s="51" t="n">
        <f aca="false">D52+C57</f>
        <v>6168.418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I8" activeCellId="0" sqref="I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1" width="33.28"/>
    <col collapsed="false" customWidth="true" hidden="false" outlineLevel="0" max="2" min="2" style="461" width="24.13"/>
    <col collapsed="false" customWidth="true" hidden="false" outlineLevel="0" max="3" min="3" style="461" width="4.14"/>
    <col collapsed="false" customWidth="true" hidden="false" outlineLevel="0" max="4" min="4" style="462" width="12.99"/>
    <col collapsed="false" customWidth="true" hidden="false" outlineLevel="0" max="6" min="5" style="461" width="10.13"/>
    <col collapsed="false" customWidth="false" hidden="false" outlineLevel="0" max="7" min="7" style="461" width="9.14"/>
    <col collapsed="false" customWidth="true" hidden="false" outlineLevel="0" max="8" min="8" style="461" width="2.42"/>
    <col collapsed="false" customWidth="true" hidden="false" outlineLevel="0" max="9" min="9" style="461" width="11.13"/>
    <col collapsed="false" customWidth="true" hidden="false" outlineLevel="0" max="10" min="10" style="461" width="9.56"/>
    <col collapsed="false" customWidth="true" hidden="false" outlineLevel="0" max="11" min="11" style="461" width="10.41"/>
    <col collapsed="false" customWidth="true" hidden="false" outlineLevel="0" max="12" min="12" style="461" width="2.42"/>
    <col collapsed="false" customWidth="true" hidden="false" outlineLevel="0" max="13" min="13" style="461" width="11.99"/>
    <col collapsed="false" customWidth="false" hidden="false" outlineLevel="0" max="14" min="14" style="461" width="9.14"/>
    <col collapsed="false" customWidth="true" hidden="false" outlineLevel="0" max="15" min="15" style="461" width="11.99"/>
    <col collapsed="false" customWidth="true" hidden="false" outlineLevel="0" max="16" min="16" style="461" width="2.56"/>
    <col collapsed="false" customWidth="true" hidden="false" outlineLevel="0" max="17" min="17" style="461" width="11.28"/>
    <col collapsed="false" customWidth="false" hidden="false" outlineLevel="0" max="18" min="18" style="461" width="9.14"/>
    <col collapsed="false" customWidth="true" hidden="false" outlineLevel="0" max="19" min="19" style="461" width="11.28"/>
    <col collapsed="false" customWidth="true" hidden="false" outlineLevel="0" max="21" min="20" style="461" width="9.85"/>
    <col collapsed="false" customWidth="false" hidden="false" outlineLevel="0" max="257" min="22" style="461" width="9.14"/>
  </cols>
  <sheetData>
    <row r="1" customFormat="false" ht="20.25" hidden="false" customHeight="false" outlineLevel="0" collapsed="false">
      <c r="A1" s="463" t="s">
        <v>649</v>
      </c>
      <c r="B1" s="463"/>
      <c r="C1" s="463"/>
      <c r="D1" s="464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</row>
    <row r="2" customFormat="false" ht="15" hidden="false" customHeight="false" outlineLevel="0" collapsed="false">
      <c r="A2" s="465" t="s">
        <v>650</v>
      </c>
      <c r="B2" s="465"/>
      <c r="C2" s="465"/>
      <c r="D2" s="466"/>
      <c r="E2" s="377"/>
      <c r="F2" s="377"/>
      <c r="G2" s="377"/>
      <c r="H2" s="377"/>
      <c r="I2" s="377"/>
      <c r="J2" s="467"/>
      <c r="K2" s="377"/>
      <c r="L2" s="377"/>
      <c r="M2" s="465"/>
      <c r="N2" s="468"/>
      <c r="O2" s="465"/>
      <c r="P2" s="377"/>
      <c r="Q2" s="377"/>
      <c r="R2" s="377"/>
      <c r="S2" s="377"/>
      <c r="T2" s="377"/>
    </row>
    <row r="3" customFormat="false" ht="12.75" hidden="false" customHeight="false" outlineLevel="0" collapsed="false">
      <c r="A3" s="469"/>
      <c r="B3" s="469"/>
      <c r="C3" s="469"/>
      <c r="D3" s="470"/>
      <c r="E3" s="469"/>
      <c r="F3" s="469"/>
      <c r="G3" s="469"/>
      <c r="H3" s="469"/>
      <c r="I3" s="469"/>
      <c r="J3" s="468" t="s">
        <v>516</v>
      </c>
      <c r="K3" s="469"/>
      <c r="L3" s="469"/>
      <c r="M3" s="471" t="s">
        <v>124</v>
      </c>
      <c r="N3" s="471"/>
      <c r="O3" s="471"/>
      <c r="P3" s="469"/>
      <c r="Q3" s="469"/>
      <c r="R3" s="467" t="s">
        <v>651</v>
      </c>
      <c r="S3" s="469"/>
      <c r="T3" s="469"/>
      <c r="U3" s="472"/>
      <c r="V3" s="472"/>
      <c r="W3" s="472"/>
      <c r="X3" s="472"/>
      <c r="Y3" s="472"/>
      <c r="Z3" s="472"/>
      <c r="AA3" s="472"/>
      <c r="AB3" s="472"/>
      <c r="AC3" s="472"/>
      <c r="AD3" s="472"/>
      <c r="AE3" s="472"/>
      <c r="AF3" s="472"/>
      <c r="AG3" s="472"/>
      <c r="AH3" s="472"/>
      <c r="AI3" s="472"/>
      <c r="AJ3" s="472"/>
      <c r="AK3" s="472"/>
      <c r="AL3" s="472"/>
      <c r="AM3" s="472"/>
      <c r="AN3" s="472"/>
      <c r="AO3" s="472"/>
      <c r="AP3" s="472"/>
      <c r="AQ3" s="472"/>
      <c r="AR3" s="472"/>
      <c r="AS3" s="472"/>
      <c r="AT3" s="472"/>
      <c r="AU3" s="472"/>
      <c r="AV3" s="472"/>
      <c r="AW3" s="472"/>
      <c r="AX3" s="472"/>
      <c r="AY3" s="472"/>
      <c r="AZ3" s="472"/>
      <c r="BA3" s="472"/>
      <c r="BB3" s="472"/>
      <c r="BC3" s="472"/>
      <c r="BD3" s="472"/>
      <c r="BE3" s="472"/>
      <c r="BF3" s="472"/>
      <c r="BG3" s="472"/>
      <c r="BH3" s="472"/>
      <c r="BI3" s="472"/>
      <c r="BJ3" s="472"/>
      <c r="BK3" s="472"/>
      <c r="BL3" s="472"/>
      <c r="BM3" s="472"/>
      <c r="BN3" s="472"/>
      <c r="BO3" s="472"/>
      <c r="BP3" s="472"/>
      <c r="BQ3" s="472"/>
      <c r="BR3" s="472"/>
      <c r="BS3" s="472"/>
      <c r="BT3" s="472"/>
      <c r="BU3" s="472"/>
      <c r="BV3" s="472"/>
      <c r="BW3" s="472"/>
      <c r="BX3" s="472"/>
      <c r="BY3" s="472"/>
      <c r="BZ3" s="472"/>
      <c r="CA3" s="472"/>
      <c r="CB3" s="472"/>
      <c r="CC3" s="472"/>
      <c r="CD3" s="472"/>
      <c r="CE3" s="472"/>
      <c r="CF3" s="472"/>
      <c r="CG3" s="472"/>
      <c r="CH3" s="472"/>
      <c r="CI3" s="472"/>
      <c r="CJ3" s="472"/>
      <c r="CK3" s="472"/>
      <c r="CL3" s="472"/>
      <c r="CM3" s="472"/>
      <c r="CN3" s="472"/>
      <c r="CO3" s="472"/>
      <c r="CP3" s="472"/>
      <c r="CQ3" s="472"/>
      <c r="CR3" s="472"/>
      <c r="CS3" s="472"/>
      <c r="CT3" s="472"/>
      <c r="CU3" s="472"/>
      <c r="CV3" s="472"/>
      <c r="CW3" s="472"/>
      <c r="CX3" s="472"/>
      <c r="CY3" s="472"/>
      <c r="CZ3" s="472"/>
      <c r="DA3" s="472"/>
      <c r="DB3" s="472"/>
      <c r="DC3" s="472"/>
      <c r="DD3" s="472"/>
      <c r="DE3" s="472"/>
      <c r="DF3" s="472"/>
      <c r="DG3" s="472"/>
      <c r="DH3" s="472"/>
      <c r="DI3" s="472"/>
      <c r="DJ3" s="472"/>
      <c r="DK3" s="472"/>
      <c r="DL3" s="472"/>
      <c r="DM3" s="472"/>
      <c r="DN3" s="472"/>
      <c r="DO3" s="472"/>
      <c r="DP3" s="472"/>
      <c r="DQ3" s="472"/>
      <c r="DR3" s="472"/>
      <c r="DS3" s="472"/>
      <c r="DT3" s="472"/>
      <c r="DU3" s="472"/>
      <c r="DV3" s="472"/>
      <c r="DW3" s="472"/>
      <c r="DX3" s="472"/>
      <c r="DY3" s="472"/>
      <c r="DZ3" s="472"/>
      <c r="EA3" s="472"/>
      <c r="EB3" s="472"/>
      <c r="EC3" s="472"/>
      <c r="ED3" s="472"/>
      <c r="EE3" s="472"/>
      <c r="EF3" s="472"/>
      <c r="EG3" s="472"/>
      <c r="EH3" s="472"/>
      <c r="EI3" s="472"/>
      <c r="EJ3" s="472"/>
      <c r="EK3" s="472"/>
      <c r="EL3" s="472"/>
      <c r="EM3" s="472"/>
      <c r="EN3" s="472"/>
      <c r="EO3" s="472"/>
      <c r="EP3" s="472"/>
      <c r="EQ3" s="472"/>
      <c r="ER3" s="472"/>
      <c r="ES3" s="472"/>
      <c r="ET3" s="472"/>
      <c r="EU3" s="472"/>
      <c r="EV3" s="472"/>
      <c r="EW3" s="472"/>
      <c r="EX3" s="472"/>
      <c r="EY3" s="472"/>
      <c r="EZ3" s="472"/>
      <c r="FA3" s="472"/>
      <c r="FB3" s="472"/>
      <c r="FC3" s="472"/>
      <c r="FD3" s="472"/>
      <c r="FE3" s="472"/>
      <c r="FF3" s="472"/>
      <c r="FG3" s="472"/>
      <c r="FH3" s="472"/>
      <c r="FI3" s="472"/>
      <c r="FJ3" s="472"/>
      <c r="FK3" s="472"/>
      <c r="FL3" s="472"/>
      <c r="FM3" s="472"/>
      <c r="FN3" s="472"/>
      <c r="FO3" s="472"/>
      <c r="FP3" s="472"/>
      <c r="FQ3" s="472"/>
      <c r="FR3" s="472"/>
      <c r="FS3" s="472"/>
      <c r="FT3" s="472"/>
      <c r="FU3" s="472"/>
      <c r="FV3" s="472"/>
      <c r="FW3" s="472"/>
      <c r="FX3" s="472"/>
      <c r="FY3" s="472"/>
      <c r="FZ3" s="472"/>
      <c r="GA3" s="472"/>
      <c r="GB3" s="472"/>
      <c r="GC3" s="472"/>
      <c r="GD3" s="472"/>
      <c r="GE3" s="472"/>
      <c r="GF3" s="472"/>
      <c r="GG3" s="472"/>
      <c r="GH3" s="472"/>
      <c r="GI3" s="472"/>
      <c r="GJ3" s="472"/>
      <c r="GK3" s="472"/>
      <c r="GL3" s="472"/>
      <c r="GM3" s="472"/>
      <c r="GN3" s="472"/>
      <c r="GO3" s="472"/>
      <c r="GP3" s="472"/>
      <c r="GQ3" s="472"/>
      <c r="GR3" s="472"/>
      <c r="GS3" s="472"/>
      <c r="GT3" s="472"/>
      <c r="GU3" s="472"/>
      <c r="GV3" s="472"/>
      <c r="GW3" s="472"/>
      <c r="GX3" s="472"/>
      <c r="GY3" s="472"/>
      <c r="GZ3" s="472"/>
      <c r="HA3" s="472"/>
      <c r="HB3" s="472"/>
      <c r="HC3" s="472"/>
      <c r="HD3" s="472"/>
      <c r="HE3" s="472"/>
      <c r="HF3" s="472"/>
      <c r="HG3" s="472"/>
      <c r="HH3" s="472"/>
      <c r="HI3" s="472"/>
      <c r="HJ3" s="472"/>
      <c r="HK3" s="472"/>
      <c r="HL3" s="472"/>
      <c r="HM3" s="472"/>
      <c r="HN3" s="472"/>
      <c r="HO3" s="472"/>
      <c r="HP3" s="472"/>
      <c r="HQ3" s="472"/>
      <c r="HR3" s="472"/>
      <c r="HS3" s="472"/>
      <c r="HT3" s="472"/>
      <c r="HU3" s="472"/>
      <c r="HV3" s="472"/>
      <c r="HW3" s="472"/>
      <c r="HX3" s="472"/>
      <c r="HY3" s="472"/>
      <c r="HZ3" s="472"/>
      <c r="IA3" s="472"/>
      <c r="IB3" s="472"/>
      <c r="IC3" s="472"/>
      <c r="ID3" s="472"/>
      <c r="IE3" s="472"/>
      <c r="IF3" s="472"/>
      <c r="IG3" s="472"/>
      <c r="IH3" s="472"/>
      <c r="II3" s="472"/>
      <c r="IJ3" s="472"/>
      <c r="IK3" s="472"/>
      <c r="IL3" s="472"/>
      <c r="IM3" s="472"/>
      <c r="IN3" s="472"/>
      <c r="IO3" s="472"/>
      <c r="IP3" s="472"/>
      <c r="IQ3" s="472"/>
      <c r="IR3" s="472"/>
      <c r="IS3" s="472"/>
      <c r="IT3" s="472"/>
      <c r="IU3" s="472"/>
      <c r="IV3" s="472"/>
      <c r="IW3" s="472"/>
    </row>
    <row r="4" customFormat="false" ht="15" hidden="false" customHeight="false" outlineLevel="0" collapsed="false">
      <c r="A4" s="473"/>
      <c r="B4" s="474" t="s">
        <v>652</v>
      </c>
      <c r="C4" s="474"/>
      <c r="D4" s="474" t="s">
        <v>126</v>
      </c>
      <c r="E4" s="475" t="s">
        <v>127</v>
      </c>
      <c r="F4" s="475"/>
      <c r="G4" s="475"/>
      <c r="H4" s="473"/>
      <c r="I4" s="475" t="s">
        <v>129</v>
      </c>
      <c r="J4" s="475"/>
      <c r="K4" s="475"/>
      <c r="L4" s="473"/>
      <c r="M4" s="475" t="s">
        <v>129</v>
      </c>
      <c r="N4" s="475"/>
      <c r="O4" s="475"/>
      <c r="P4" s="473"/>
      <c r="Q4" s="469"/>
      <c r="R4" s="474" t="s">
        <v>159</v>
      </c>
      <c r="S4" s="476"/>
      <c r="T4" s="476"/>
      <c r="U4" s="472"/>
      <c r="V4" s="472"/>
      <c r="W4" s="472"/>
      <c r="X4" s="472"/>
      <c r="Y4" s="472"/>
      <c r="Z4" s="472"/>
      <c r="AA4" s="472"/>
      <c r="AB4" s="472"/>
      <c r="AC4" s="472"/>
      <c r="AD4" s="472"/>
      <c r="AE4" s="472"/>
      <c r="AF4" s="472"/>
      <c r="AG4" s="472"/>
      <c r="AH4" s="472"/>
      <c r="AI4" s="472"/>
      <c r="AJ4" s="472"/>
      <c r="AK4" s="472"/>
      <c r="AL4" s="472"/>
      <c r="AM4" s="472"/>
      <c r="AN4" s="472"/>
      <c r="AO4" s="472"/>
      <c r="AP4" s="472"/>
      <c r="AQ4" s="472"/>
      <c r="AR4" s="472"/>
      <c r="AS4" s="472"/>
      <c r="AT4" s="472"/>
      <c r="AU4" s="472"/>
      <c r="AV4" s="472"/>
      <c r="AW4" s="472"/>
      <c r="AX4" s="472"/>
      <c r="AY4" s="472"/>
      <c r="AZ4" s="472"/>
      <c r="BA4" s="472"/>
      <c r="BB4" s="472"/>
      <c r="BC4" s="472"/>
      <c r="BD4" s="472"/>
      <c r="BE4" s="472"/>
      <c r="BF4" s="472"/>
      <c r="BG4" s="472"/>
      <c r="BH4" s="472"/>
      <c r="BI4" s="472"/>
      <c r="BJ4" s="472"/>
      <c r="BK4" s="472"/>
      <c r="BL4" s="472"/>
      <c r="BM4" s="472"/>
      <c r="BN4" s="472"/>
      <c r="BO4" s="472"/>
      <c r="BP4" s="472"/>
      <c r="BQ4" s="472"/>
      <c r="BR4" s="472"/>
      <c r="BS4" s="472"/>
      <c r="BT4" s="472"/>
      <c r="BU4" s="472"/>
      <c r="BV4" s="472"/>
      <c r="BW4" s="472"/>
      <c r="BX4" s="472"/>
      <c r="BY4" s="472"/>
      <c r="BZ4" s="472"/>
      <c r="CA4" s="472"/>
      <c r="CB4" s="472"/>
      <c r="CC4" s="472"/>
      <c r="CD4" s="472"/>
      <c r="CE4" s="472"/>
      <c r="CF4" s="472"/>
      <c r="CG4" s="472"/>
      <c r="CH4" s="472"/>
      <c r="CI4" s="472"/>
      <c r="CJ4" s="472"/>
      <c r="CK4" s="472"/>
      <c r="CL4" s="472"/>
      <c r="CM4" s="472"/>
      <c r="CN4" s="472"/>
      <c r="CO4" s="472"/>
      <c r="CP4" s="472"/>
      <c r="CQ4" s="472"/>
      <c r="CR4" s="472"/>
      <c r="CS4" s="472"/>
      <c r="CT4" s="472"/>
      <c r="CU4" s="472"/>
      <c r="CV4" s="472"/>
      <c r="CW4" s="472"/>
      <c r="CX4" s="472"/>
      <c r="CY4" s="472"/>
      <c r="CZ4" s="472"/>
      <c r="DA4" s="472"/>
      <c r="DB4" s="472"/>
      <c r="DC4" s="472"/>
      <c r="DD4" s="472"/>
      <c r="DE4" s="472"/>
      <c r="DF4" s="472"/>
      <c r="DG4" s="472"/>
      <c r="DH4" s="472"/>
      <c r="DI4" s="472"/>
      <c r="DJ4" s="472"/>
      <c r="DK4" s="472"/>
      <c r="DL4" s="472"/>
      <c r="DM4" s="472"/>
      <c r="DN4" s="472"/>
      <c r="DO4" s="472"/>
      <c r="DP4" s="472"/>
      <c r="DQ4" s="472"/>
      <c r="DR4" s="472"/>
      <c r="DS4" s="472"/>
      <c r="DT4" s="472"/>
      <c r="DU4" s="472"/>
      <c r="DV4" s="472"/>
      <c r="DW4" s="472"/>
      <c r="DX4" s="472"/>
      <c r="DY4" s="472"/>
      <c r="DZ4" s="472"/>
      <c r="EA4" s="472"/>
      <c r="EB4" s="472"/>
      <c r="EC4" s="472"/>
      <c r="ED4" s="472"/>
      <c r="EE4" s="472"/>
      <c r="EF4" s="472"/>
      <c r="EG4" s="472"/>
      <c r="EH4" s="472"/>
      <c r="EI4" s="472"/>
      <c r="EJ4" s="472"/>
      <c r="EK4" s="472"/>
      <c r="EL4" s="472"/>
      <c r="EM4" s="472"/>
      <c r="EN4" s="472"/>
      <c r="EO4" s="472"/>
      <c r="EP4" s="472"/>
      <c r="EQ4" s="472"/>
      <c r="ER4" s="472"/>
      <c r="ES4" s="472"/>
      <c r="ET4" s="472"/>
      <c r="EU4" s="472"/>
      <c r="EV4" s="472"/>
      <c r="EW4" s="472"/>
      <c r="EX4" s="472"/>
      <c r="EY4" s="472"/>
      <c r="EZ4" s="472"/>
      <c r="FA4" s="472"/>
      <c r="FB4" s="472"/>
      <c r="FC4" s="472"/>
      <c r="FD4" s="472"/>
      <c r="FE4" s="472"/>
      <c r="FF4" s="472"/>
      <c r="FG4" s="472"/>
      <c r="FH4" s="472"/>
      <c r="FI4" s="472"/>
      <c r="FJ4" s="472"/>
      <c r="FK4" s="472"/>
      <c r="FL4" s="472"/>
      <c r="FM4" s="472"/>
      <c r="FN4" s="472"/>
      <c r="FO4" s="472"/>
      <c r="FP4" s="472"/>
      <c r="FQ4" s="472"/>
      <c r="FR4" s="472"/>
      <c r="FS4" s="472"/>
      <c r="FT4" s="472"/>
      <c r="FU4" s="472"/>
      <c r="FV4" s="472"/>
      <c r="FW4" s="472"/>
      <c r="FX4" s="472"/>
      <c r="FY4" s="472"/>
      <c r="FZ4" s="472"/>
      <c r="GA4" s="472"/>
      <c r="GB4" s="472"/>
      <c r="GC4" s="472"/>
      <c r="GD4" s="472"/>
      <c r="GE4" s="472"/>
      <c r="GF4" s="472"/>
      <c r="GG4" s="472"/>
      <c r="GH4" s="472"/>
      <c r="GI4" s="472"/>
      <c r="GJ4" s="472"/>
      <c r="GK4" s="472"/>
      <c r="GL4" s="472"/>
      <c r="GM4" s="472"/>
      <c r="GN4" s="472"/>
      <c r="GO4" s="472"/>
      <c r="GP4" s="472"/>
      <c r="GQ4" s="472"/>
      <c r="GR4" s="472"/>
      <c r="GS4" s="472"/>
      <c r="GT4" s="472"/>
      <c r="GU4" s="472"/>
      <c r="GV4" s="472"/>
      <c r="GW4" s="472"/>
      <c r="GX4" s="472"/>
      <c r="GY4" s="472"/>
      <c r="GZ4" s="472"/>
      <c r="HA4" s="472"/>
      <c r="HB4" s="472"/>
      <c r="HC4" s="472"/>
      <c r="HD4" s="472"/>
      <c r="HE4" s="472"/>
      <c r="HF4" s="472"/>
      <c r="HG4" s="472"/>
      <c r="HH4" s="472"/>
      <c r="HI4" s="472"/>
      <c r="HJ4" s="472"/>
      <c r="HK4" s="472"/>
      <c r="HL4" s="472"/>
      <c r="HM4" s="472"/>
      <c r="HN4" s="472"/>
      <c r="HO4" s="472"/>
      <c r="HP4" s="472"/>
      <c r="HQ4" s="472"/>
      <c r="HR4" s="472"/>
      <c r="HS4" s="472"/>
      <c r="HT4" s="472"/>
      <c r="HU4" s="472"/>
      <c r="HV4" s="472"/>
      <c r="HW4" s="472"/>
      <c r="HX4" s="472"/>
      <c r="HY4" s="472"/>
      <c r="HZ4" s="472"/>
      <c r="IA4" s="472"/>
      <c r="IB4" s="472"/>
      <c r="IC4" s="472"/>
      <c r="ID4" s="472"/>
      <c r="IE4" s="472"/>
      <c r="IF4" s="472"/>
      <c r="IG4" s="472"/>
      <c r="IH4" s="472"/>
      <c r="II4" s="472"/>
      <c r="IJ4" s="472"/>
      <c r="IK4" s="472"/>
      <c r="IL4" s="472"/>
      <c r="IM4" s="472"/>
      <c r="IN4" s="472"/>
      <c r="IO4" s="472"/>
      <c r="IP4" s="472"/>
      <c r="IQ4" s="472"/>
      <c r="IR4" s="472"/>
      <c r="IS4" s="472"/>
      <c r="IT4" s="472"/>
      <c r="IU4" s="472"/>
      <c r="IV4" s="472"/>
      <c r="IW4" s="472"/>
    </row>
    <row r="5" customFormat="false" ht="14.25" hidden="false" customHeight="false" outlineLevel="0" collapsed="false">
      <c r="A5" s="477"/>
      <c r="B5" s="477"/>
      <c r="C5" s="477"/>
      <c r="D5" s="478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377"/>
      <c r="R5" s="377"/>
      <c r="S5" s="377"/>
      <c r="T5" s="377"/>
    </row>
    <row r="6" customFormat="false" ht="15" hidden="false" customHeight="false" outlineLevel="0" collapsed="false">
      <c r="A6" s="477"/>
      <c r="B6" s="479"/>
      <c r="C6" s="479"/>
      <c r="D6" s="480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377"/>
      <c r="R6" s="377"/>
      <c r="S6" s="377"/>
      <c r="T6" s="377"/>
    </row>
    <row r="7" customFormat="false" ht="17.25" hidden="false" customHeight="false" outlineLevel="0" collapsed="false">
      <c r="A7" s="477" t="s">
        <v>653</v>
      </c>
      <c r="B7" s="481" t="s">
        <v>654</v>
      </c>
      <c r="C7" s="482" t="s">
        <v>655</v>
      </c>
      <c r="D7" s="483" t="n">
        <f aca="false">'Segment Fin Proj'!P111</f>
        <v>673.056556264097</v>
      </c>
      <c r="E7" s="484" t="n">
        <v>5.5</v>
      </c>
      <c r="F7" s="485" t="s">
        <v>656</v>
      </c>
      <c r="G7" s="484" t="n">
        <v>6.5</v>
      </c>
      <c r="H7" s="486"/>
      <c r="I7" s="487" t="n">
        <f aca="false">$D7*E7</f>
        <v>3701.81105945253</v>
      </c>
      <c r="J7" s="488" t="s">
        <v>656</v>
      </c>
      <c r="K7" s="487" t="n">
        <f aca="false">$D7*G7</f>
        <v>4374.86761571663</v>
      </c>
      <c r="L7" s="486"/>
      <c r="M7" s="489" t="n">
        <v>3500</v>
      </c>
      <c r="N7" s="488" t="s">
        <v>656</v>
      </c>
      <c r="O7" s="489" t="n">
        <v>4400</v>
      </c>
      <c r="P7" s="486"/>
      <c r="Q7" s="490" t="n">
        <f aca="false">+AVERAGE(M7:M8)</f>
        <v>2889.05084432261</v>
      </c>
      <c r="R7" s="491"/>
      <c r="S7" s="490" t="n">
        <f aca="false">+AVERAGE(O7:O8)</f>
        <v>3518.90097763671</v>
      </c>
      <c r="T7" s="491"/>
      <c r="U7" s="492"/>
      <c r="V7" s="492"/>
      <c r="W7" s="492"/>
      <c r="X7" s="492"/>
      <c r="Y7" s="492"/>
      <c r="Z7" s="492"/>
      <c r="AA7" s="492"/>
      <c r="AB7" s="492"/>
      <c r="AC7" s="492"/>
      <c r="AD7" s="492"/>
      <c r="AE7" s="492"/>
      <c r="AF7" s="492"/>
      <c r="AG7" s="492"/>
      <c r="AH7" s="492"/>
      <c r="AI7" s="492"/>
      <c r="AJ7" s="492"/>
      <c r="AK7" s="492"/>
      <c r="AL7" s="492"/>
      <c r="AM7" s="492"/>
      <c r="AN7" s="492"/>
      <c r="AO7" s="492"/>
      <c r="AP7" s="492"/>
      <c r="AQ7" s="492"/>
      <c r="AR7" s="492"/>
      <c r="AS7" s="492"/>
      <c r="AT7" s="492"/>
      <c r="AU7" s="492"/>
      <c r="AV7" s="492"/>
      <c r="AW7" s="492"/>
      <c r="AX7" s="492"/>
      <c r="AY7" s="492"/>
      <c r="AZ7" s="492"/>
      <c r="BA7" s="492"/>
      <c r="BB7" s="492"/>
      <c r="BC7" s="492"/>
      <c r="BD7" s="492"/>
      <c r="BE7" s="492"/>
      <c r="BF7" s="492"/>
      <c r="BG7" s="492"/>
      <c r="BH7" s="492"/>
      <c r="BI7" s="492"/>
      <c r="BJ7" s="492"/>
      <c r="BK7" s="492"/>
      <c r="BL7" s="492"/>
      <c r="BM7" s="492"/>
      <c r="BN7" s="492"/>
      <c r="BO7" s="492"/>
      <c r="BP7" s="492"/>
      <c r="BQ7" s="492"/>
      <c r="BR7" s="492"/>
      <c r="BS7" s="492"/>
      <c r="BT7" s="492"/>
      <c r="BU7" s="492"/>
      <c r="BV7" s="492"/>
      <c r="BW7" s="492"/>
      <c r="BX7" s="492"/>
      <c r="BY7" s="492"/>
      <c r="BZ7" s="492"/>
      <c r="CA7" s="492"/>
      <c r="CB7" s="492"/>
      <c r="CC7" s="492"/>
      <c r="CD7" s="492"/>
      <c r="CE7" s="492"/>
      <c r="CF7" s="492"/>
      <c r="CG7" s="492"/>
      <c r="CH7" s="492"/>
      <c r="CI7" s="492"/>
      <c r="CJ7" s="492"/>
      <c r="CK7" s="492"/>
      <c r="CL7" s="492"/>
      <c r="CM7" s="492"/>
      <c r="CN7" s="492"/>
      <c r="CO7" s="492"/>
      <c r="CP7" s="492"/>
      <c r="CQ7" s="492"/>
      <c r="CR7" s="492"/>
      <c r="CS7" s="492"/>
      <c r="CT7" s="492"/>
      <c r="CU7" s="492"/>
      <c r="CV7" s="492"/>
      <c r="CW7" s="492"/>
      <c r="CX7" s="492"/>
      <c r="CY7" s="492"/>
      <c r="CZ7" s="492"/>
      <c r="DA7" s="492"/>
      <c r="DB7" s="492"/>
      <c r="DC7" s="492"/>
      <c r="DD7" s="492"/>
      <c r="DE7" s="492"/>
      <c r="DF7" s="492"/>
      <c r="DG7" s="492"/>
      <c r="DH7" s="492"/>
      <c r="DI7" s="492"/>
      <c r="DJ7" s="492"/>
      <c r="DK7" s="492"/>
      <c r="DL7" s="492"/>
      <c r="DM7" s="492"/>
      <c r="DN7" s="492"/>
      <c r="DO7" s="492"/>
      <c r="DP7" s="492"/>
      <c r="DQ7" s="492"/>
      <c r="DR7" s="492"/>
      <c r="DS7" s="492"/>
      <c r="DT7" s="492"/>
      <c r="DU7" s="492"/>
      <c r="DV7" s="492"/>
      <c r="DW7" s="492"/>
      <c r="DX7" s="492"/>
      <c r="DY7" s="492"/>
      <c r="DZ7" s="492"/>
      <c r="EA7" s="492"/>
      <c r="EB7" s="492"/>
      <c r="EC7" s="492"/>
      <c r="ED7" s="492"/>
      <c r="EE7" s="492"/>
      <c r="EF7" s="492"/>
      <c r="EG7" s="492"/>
      <c r="EH7" s="492"/>
      <c r="EI7" s="492"/>
      <c r="EJ7" s="492"/>
      <c r="EK7" s="492"/>
      <c r="EL7" s="492"/>
      <c r="EM7" s="492"/>
      <c r="EN7" s="492"/>
      <c r="EO7" s="492"/>
      <c r="EP7" s="492"/>
      <c r="EQ7" s="492"/>
      <c r="ER7" s="492"/>
      <c r="ES7" s="492"/>
      <c r="ET7" s="492"/>
      <c r="EU7" s="492"/>
      <c r="EV7" s="492"/>
      <c r="EW7" s="492"/>
      <c r="EX7" s="492"/>
      <c r="EY7" s="492"/>
      <c r="EZ7" s="492"/>
      <c r="FA7" s="492"/>
      <c r="FB7" s="492"/>
      <c r="FC7" s="492"/>
      <c r="FD7" s="492"/>
      <c r="FE7" s="492"/>
      <c r="FF7" s="492"/>
      <c r="FG7" s="492"/>
      <c r="FH7" s="492"/>
      <c r="FI7" s="492"/>
      <c r="FJ7" s="492"/>
      <c r="FK7" s="492"/>
      <c r="FL7" s="492"/>
      <c r="FM7" s="492"/>
      <c r="FN7" s="492"/>
      <c r="FO7" s="492"/>
      <c r="FP7" s="492"/>
      <c r="FQ7" s="492"/>
      <c r="FR7" s="492"/>
      <c r="FS7" s="492"/>
      <c r="FT7" s="492"/>
      <c r="FU7" s="492"/>
      <c r="FV7" s="492"/>
      <c r="FW7" s="492"/>
      <c r="FX7" s="492"/>
      <c r="FY7" s="492"/>
      <c r="FZ7" s="492"/>
      <c r="GA7" s="492"/>
      <c r="GB7" s="492"/>
      <c r="GC7" s="492"/>
      <c r="GD7" s="492"/>
      <c r="GE7" s="492"/>
      <c r="GF7" s="492"/>
      <c r="GG7" s="492"/>
      <c r="GH7" s="492"/>
      <c r="GI7" s="492"/>
      <c r="GJ7" s="492"/>
      <c r="GK7" s="492"/>
      <c r="GL7" s="492"/>
      <c r="GM7" s="492"/>
      <c r="GN7" s="492"/>
      <c r="GO7" s="492"/>
      <c r="GP7" s="492"/>
      <c r="GQ7" s="492"/>
      <c r="GR7" s="492"/>
      <c r="GS7" s="492"/>
      <c r="GT7" s="492"/>
      <c r="GU7" s="492"/>
      <c r="GV7" s="492"/>
      <c r="GW7" s="492"/>
      <c r="GX7" s="492"/>
      <c r="GY7" s="492"/>
      <c r="GZ7" s="492"/>
      <c r="HA7" s="492"/>
      <c r="HB7" s="492"/>
      <c r="HC7" s="492"/>
      <c r="HD7" s="492"/>
      <c r="HE7" s="492"/>
      <c r="HF7" s="492"/>
      <c r="HG7" s="492"/>
      <c r="HH7" s="492"/>
      <c r="HI7" s="492"/>
      <c r="HJ7" s="492"/>
      <c r="HK7" s="492"/>
      <c r="HL7" s="492"/>
      <c r="HM7" s="492"/>
      <c r="HN7" s="492"/>
      <c r="HO7" s="492"/>
      <c r="HP7" s="492"/>
      <c r="HQ7" s="492"/>
      <c r="HR7" s="492"/>
      <c r="HS7" s="492"/>
      <c r="HT7" s="492"/>
      <c r="HU7" s="492"/>
      <c r="HV7" s="492"/>
      <c r="HW7" s="492"/>
      <c r="HX7" s="492"/>
      <c r="HY7" s="492"/>
      <c r="HZ7" s="492"/>
      <c r="IA7" s="492"/>
      <c r="IB7" s="492"/>
      <c r="IC7" s="492"/>
      <c r="ID7" s="492"/>
      <c r="IE7" s="492"/>
      <c r="IF7" s="492"/>
      <c r="IG7" s="492"/>
      <c r="IH7" s="492"/>
      <c r="II7" s="492"/>
      <c r="IJ7" s="492"/>
      <c r="IK7" s="492"/>
      <c r="IL7" s="492"/>
      <c r="IM7" s="492"/>
      <c r="IN7" s="492"/>
      <c r="IO7" s="492"/>
      <c r="IP7" s="492"/>
      <c r="IQ7" s="492"/>
      <c r="IR7" s="492"/>
      <c r="IS7" s="492"/>
      <c r="IT7" s="492"/>
      <c r="IU7" s="492"/>
      <c r="IV7" s="492"/>
      <c r="IW7" s="492"/>
    </row>
    <row r="8" customFormat="false" ht="17.25" hidden="false" customHeight="false" outlineLevel="0" collapsed="false">
      <c r="A8" s="477"/>
      <c r="B8" s="478" t="s">
        <v>657</v>
      </c>
      <c r="C8" s="482" t="s">
        <v>655</v>
      </c>
      <c r="D8" s="493" t="n">
        <f aca="false">+'Segment Fin Proj'!P142</f>
        <v>239.800177752129</v>
      </c>
      <c r="E8" s="484" t="n">
        <v>9.5</v>
      </c>
      <c r="F8" s="485" t="s">
        <v>656</v>
      </c>
      <c r="G8" s="484" t="n">
        <v>11</v>
      </c>
      <c r="H8" s="477"/>
      <c r="I8" s="477"/>
      <c r="J8" s="477"/>
      <c r="K8" s="477"/>
      <c r="L8" s="477"/>
      <c r="M8" s="494" t="n">
        <f aca="false">$D8*E8</f>
        <v>2278.10168864522</v>
      </c>
      <c r="N8" s="488" t="s">
        <v>656</v>
      </c>
      <c r="O8" s="494" t="n">
        <f aca="false">$D8*G8</f>
        <v>2637.80195527341</v>
      </c>
      <c r="P8" s="477"/>
      <c r="Q8" s="377"/>
      <c r="R8" s="377"/>
      <c r="S8" s="377"/>
      <c r="T8" s="377"/>
    </row>
    <row r="9" customFormat="false" ht="14.25" hidden="false" customHeight="false" outlineLevel="0" collapsed="false">
      <c r="A9" s="477"/>
      <c r="B9" s="478"/>
      <c r="C9" s="478"/>
      <c r="D9" s="493"/>
      <c r="E9" s="484"/>
      <c r="F9" s="477"/>
      <c r="G9" s="484"/>
      <c r="H9" s="477"/>
      <c r="I9" s="477"/>
      <c r="J9" s="489"/>
      <c r="K9" s="477"/>
      <c r="L9" s="477"/>
      <c r="M9" s="477"/>
      <c r="N9" s="477"/>
      <c r="O9" s="477"/>
      <c r="P9" s="477"/>
      <c r="Q9" s="377"/>
      <c r="R9" s="377"/>
      <c r="S9" s="377"/>
      <c r="T9" s="377"/>
    </row>
    <row r="10" customFormat="false" ht="14.25" hidden="false" customHeight="false" outlineLevel="0" collapsed="false">
      <c r="A10" s="477"/>
      <c r="B10" s="478"/>
      <c r="C10" s="478"/>
      <c r="D10" s="493"/>
      <c r="E10" s="484"/>
      <c r="F10" s="477"/>
      <c r="G10" s="484"/>
      <c r="H10" s="477"/>
      <c r="I10" s="477"/>
      <c r="J10" s="489"/>
      <c r="K10" s="477"/>
      <c r="L10" s="477"/>
      <c r="M10" s="477"/>
      <c r="N10" s="477"/>
      <c r="O10" s="477"/>
      <c r="P10" s="477"/>
      <c r="Q10" s="377"/>
      <c r="R10" s="377"/>
      <c r="S10" s="377"/>
      <c r="T10" s="377"/>
    </row>
    <row r="11" customFormat="false" ht="17.25" hidden="false" customHeight="false" outlineLevel="0" collapsed="false">
      <c r="A11" s="495" t="s">
        <v>658</v>
      </c>
      <c r="B11" s="481" t="s">
        <v>654</v>
      </c>
      <c r="C11" s="482" t="s">
        <v>655</v>
      </c>
      <c r="D11" s="496" t="n">
        <f aca="false">'Segment Fin Proj'!P112</f>
        <v>101.728764863858</v>
      </c>
      <c r="E11" s="484" t="n">
        <v>7</v>
      </c>
      <c r="F11" s="485" t="s">
        <v>656</v>
      </c>
      <c r="G11" s="484" t="n">
        <v>8</v>
      </c>
      <c r="H11" s="477"/>
      <c r="I11" s="494" t="n">
        <f aca="false">E11*$D11</f>
        <v>712.101354047008</v>
      </c>
      <c r="J11" s="488" t="s">
        <v>656</v>
      </c>
      <c r="K11" s="494" t="n">
        <f aca="false">G11*$D11</f>
        <v>813.830118910866</v>
      </c>
      <c r="L11" s="477"/>
      <c r="M11" s="497" t="e">
        <f aca="false">+I11-#REF!</f>
        <v>#REF!</v>
      </c>
      <c r="N11" s="488" t="s">
        <v>656</v>
      </c>
      <c r="O11" s="497" t="e">
        <f aca="false">+K11-#REF!</f>
        <v>#REF!</v>
      </c>
      <c r="P11" s="477"/>
      <c r="Q11" s="490" t="e">
        <f aca="false">+AVERAGE(M11:M12)</f>
        <v>#REF!</v>
      </c>
      <c r="R11" s="377"/>
      <c r="S11" s="490" t="e">
        <f aca="false">+AVERAGE(O11:O12)</f>
        <v>#REF!</v>
      </c>
      <c r="T11" s="377"/>
    </row>
    <row r="12" customFormat="false" ht="17.25" hidden="false" customHeight="false" outlineLevel="0" collapsed="false">
      <c r="A12" s="495"/>
      <c r="B12" s="478" t="s">
        <v>657</v>
      </c>
      <c r="C12" s="482" t="s">
        <v>655</v>
      </c>
      <c r="D12" s="493" t="n">
        <f aca="false">+'Segment Fin Proj'!P143</f>
        <v>50.4158784446939</v>
      </c>
      <c r="E12" s="484" t="n">
        <v>11</v>
      </c>
      <c r="F12" s="485" t="s">
        <v>656</v>
      </c>
      <c r="G12" s="484" t="n">
        <v>13</v>
      </c>
      <c r="H12" s="477"/>
      <c r="I12" s="498"/>
      <c r="J12" s="488"/>
      <c r="K12" s="498"/>
      <c r="L12" s="477"/>
      <c r="M12" s="494" t="n">
        <f aca="false">E12*$D12</f>
        <v>554.574662891633</v>
      </c>
      <c r="N12" s="488" t="s">
        <v>656</v>
      </c>
      <c r="O12" s="494" t="n">
        <f aca="false">G12*$D12</f>
        <v>655.406419781021</v>
      </c>
      <c r="P12" s="477"/>
      <c r="Q12" s="377"/>
      <c r="R12" s="377"/>
      <c r="S12" s="377"/>
      <c r="T12" s="377"/>
    </row>
    <row r="13" customFormat="false" ht="15" hidden="false" customHeight="false" outlineLevel="0" collapsed="false">
      <c r="A13" s="495"/>
      <c r="B13" s="478"/>
      <c r="C13" s="478"/>
      <c r="D13" s="493"/>
      <c r="E13" s="484"/>
      <c r="F13" s="485"/>
      <c r="G13" s="484"/>
      <c r="H13" s="477"/>
      <c r="I13" s="477"/>
      <c r="J13" s="489"/>
      <c r="K13" s="498"/>
      <c r="L13" s="477"/>
      <c r="M13" s="498"/>
      <c r="N13" s="488"/>
      <c r="O13" s="498"/>
      <c r="P13" s="477"/>
      <c r="Q13" s="377"/>
      <c r="R13" s="377"/>
      <c r="S13" s="377"/>
      <c r="T13" s="377"/>
    </row>
    <row r="14" customFormat="false" ht="15" hidden="false" customHeight="false" outlineLevel="0" collapsed="false">
      <c r="A14" s="495"/>
      <c r="B14" s="478"/>
      <c r="C14" s="478"/>
      <c r="D14" s="493"/>
      <c r="E14" s="484"/>
      <c r="F14" s="485"/>
      <c r="G14" s="484"/>
      <c r="H14" s="477"/>
      <c r="I14" s="477"/>
      <c r="J14" s="489"/>
      <c r="K14" s="498"/>
      <c r="L14" s="477"/>
      <c r="M14" s="498"/>
      <c r="N14" s="488"/>
      <c r="O14" s="498"/>
      <c r="P14" s="477"/>
      <c r="Q14" s="377"/>
      <c r="R14" s="377"/>
      <c r="S14" s="377"/>
      <c r="T14" s="377"/>
    </row>
    <row r="15" customFormat="false" ht="17.25" hidden="false" customHeight="false" outlineLevel="0" collapsed="false">
      <c r="A15" s="477" t="s">
        <v>103</v>
      </c>
      <c r="B15" s="481" t="s">
        <v>654</v>
      </c>
      <c r="C15" s="482" t="s">
        <v>655</v>
      </c>
      <c r="D15" s="493" t="n">
        <f aca="false">+'Segment Fin Proj'!AA111</f>
        <v>447.234543293612</v>
      </c>
      <c r="E15" s="484" t="n">
        <v>5.5</v>
      </c>
      <c r="F15" s="485" t="s">
        <v>656</v>
      </c>
      <c r="G15" s="484" t="n">
        <v>6.5</v>
      </c>
      <c r="H15" s="477"/>
      <c r="I15" s="494" t="n">
        <f aca="false">E15*$D15</f>
        <v>2459.78998811486</v>
      </c>
      <c r="J15" s="488" t="s">
        <v>656</v>
      </c>
      <c r="K15" s="494" t="n">
        <f aca="false">G15*$D15</f>
        <v>2907.02453140848</v>
      </c>
      <c r="L15" s="477"/>
      <c r="M15" s="497" t="e">
        <f aca="false">+I15-#REF!-'Sum of Parts-Slide'!$K$9</f>
        <v>#REF!</v>
      </c>
      <c r="N15" s="488" t="s">
        <v>656</v>
      </c>
      <c r="O15" s="497" t="e">
        <f aca="false">+K15-#REF!+'Sum of Parts-Slide'!$K$9</f>
        <v>#REF!</v>
      </c>
      <c r="P15" s="477"/>
      <c r="Q15" s="490" t="e">
        <f aca="false">+AVERAGE(M15:M16)</f>
        <v>#REF!</v>
      </c>
      <c r="R15" s="377"/>
      <c r="S15" s="490" t="e">
        <f aca="false">+AVERAGE(O15:O16)</f>
        <v>#REF!</v>
      </c>
      <c r="T15" s="377"/>
    </row>
    <row r="16" customFormat="false" ht="17.25" hidden="false" customHeight="false" outlineLevel="0" collapsed="false">
      <c r="A16" s="477"/>
      <c r="B16" s="478" t="s">
        <v>657</v>
      </c>
      <c r="C16" s="482" t="s">
        <v>655</v>
      </c>
      <c r="D16" s="493" t="n">
        <f aca="false">+'Segment Fin Proj'!AA142</f>
        <v>147.851128143698</v>
      </c>
      <c r="E16" s="484" t="n">
        <v>9.5</v>
      </c>
      <c r="F16" s="485" t="s">
        <v>656</v>
      </c>
      <c r="G16" s="484" t="n">
        <v>11</v>
      </c>
      <c r="H16" s="477"/>
      <c r="I16" s="477"/>
      <c r="J16" s="477"/>
      <c r="K16" s="477"/>
      <c r="L16" s="477"/>
      <c r="M16" s="494" t="n">
        <f aca="false">E16*$D16</f>
        <v>1404.58571736513</v>
      </c>
      <c r="N16" s="488" t="s">
        <v>656</v>
      </c>
      <c r="O16" s="494" t="n">
        <f aca="false">G16*$D16</f>
        <v>1626.36240958067</v>
      </c>
      <c r="P16" s="477"/>
      <c r="Q16" s="377"/>
      <c r="R16" s="377"/>
      <c r="S16" s="377"/>
      <c r="T16" s="377"/>
    </row>
    <row r="17" customFormat="false" ht="14.25" hidden="false" customHeight="false" outlineLevel="0" collapsed="false">
      <c r="A17" s="477"/>
      <c r="B17" s="478"/>
      <c r="C17" s="478"/>
      <c r="D17" s="493"/>
      <c r="E17" s="499"/>
      <c r="F17" s="477"/>
      <c r="G17" s="484"/>
      <c r="H17" s="477"/>
      <c r="I17" s="477"/>
      <c r="J17" s="489"/>
      <c r="K17" s="477"/>
      <c r="L17" s="477"/>
      <c r="M17" s="477"/>
      <c r="N17" s="477"/>
      <c r="O17" s="477"/>
      <c r="P17" s="477"/>
      <c r="Q17" s="377"/>
      <c r="R17" s="377"/>
      <c r="S17" s="377"/>
      <c r="T17" s="377"/>
    </row>
    <row r="18" customFormat="false" ht="14.25" hidden="false" customHeight="false" outlineLevel="0" collapsed="false">
      <c r="A18" s="477"/>
      <c r="B18" s="478"/>
      <c r="C18" s="478"/>
      <c r="D18" s="493"/>
      <c r="E18" s="499"/>
      <c r="F18" s="477"/>
      <c r="G18" s="484"/>
      <c r="H18" s="477"/>
      <c r="I18" s="477"/>
      <c r="J18" s="489"/>
      <c r="K18" s="477"/>
      <c r="L18" s="477"/>
      <c r="M18" s="477"/>
      <c r="N18" s="477"/>
      <c r="O18" s="477"/>
      <c r="P18" s="477"/>
      <c r="Q18" s="377"/>
      <c r="R18" s="377"/>
      <c r="S18" s="377"/>
      <c r="T18" s="377"/>
    </row>
    <row r="19" customFormat="false" ht="17.25" hidden="false" customHeight="false" outlineLevel="0" collapsed="false">
      <c r="A19" s="477" t="s">
        <v>505</v>
      </c>
      <c r="B19" s="481" t="s">
        <v>654</v>
      </c>
      <c r="C19" s="482" t="s">
        <v>655</v>
      </c>
      <c r="D19" s="493" t="s">
        <v>218</v>
      </c>
      <c r="E19" s="484" t="n">
        <v>7.5</v>
      </c>
      <c r="F19" s="485" t="s">
        <v>656</v>
      </c>
      <c r="G19" s="484" t="n">
        <v>8.5</v>
      </c>
      <c r="H19" s="477"/>
      <c r="I19" s="500" t="s">
        <v>218</v>
      </c>
      <c r="J19" s="488" t="s">
        <v>656</v>
      </c>
      <c r="K19" s="500" t="s">
        <v>218</v>
      </c>
      <c r="L19" s="477"/>
      <c r="M19" s="500" t="s">
        <v>218</v>
      </c>
      <c r="N19" s="488" t="s">
        <v>656</v>
      </c>
      <c r="O19" s="500" t="s">
        <v>218</v>
      </c>
      <c r="P19" s="477"/>
      <c r="Q19" s="490" t="n">
        <v>0</v>
      </c>
      <c r="R19" s="377"/>
      <c r="S19" s="490" t="n">
        <v>0</v>
      </c>
      <c r="T19" s="377"/>
    </row>
    <row r="20" customFormat="false" ht="17.25" hidden="false" customHeight="false" outlineLevel="0" collapsed="false">
      <c r="A20" s="477"/>
      <c r="B20" s="478" t="s">
        <v>657</v>
      </c>
      <c r="C20" s="482" t="s">
        <v>655</v>
      </c>
      <c r="D20" s="493" t="s">
        <v>218</v>
      </c>
      <c r="E20" s="484" t="n">
        <v>10</v>
      </c>
      <c r="F20" s="485" t="s">
        <v>656</v>
      </c>
      <c r="G20" s="484" t="n">
        <v>12</v>
      </c>
      <c r="H20" s="477"/>
      <c r="I20" s="477"/>
      <c r="J20" s="477"/>
      <c r="K20" s="477"/>
      <c r="L20" s="477"/>
      <c r="M20" s="377"/>
      <c r="N20" s="377"/>
      <c r="O20" s="377"/>
      <c r="P20" s="477"/>
      <c r="Q20" s="377"/>
      <c r="R20" s="377"/>
      <c r="S20" s="377"/>
      <c r="T20" s="377"/>
    </row>
    <row r="21" customFormat="false" ht="14.25" hidden="false" customHeight="false" outlineLevel="0" collapsed="false">
      <c r="A21" s="477"/>
      <c r="B21" s="478"/>
      <c r="C21" s="478"/>
      <c r="D21" s="493"/>
      <c r="E21" s="499"/>
      <c r="F21" s="477"/>
      <c r="G21" s="499"/>
      <c r="H21" s="477"/>
      <c r="I21" s="477"/>
      <c r="J21" s="477"/>
      <c r="K21" s="477"/>
      <c r="L21" s="477"/>
      <c r="M21" s="477"/>
      <c r="N21" s="477"/>
      <c r="O21" s="477"/>
      <c r="P21" s="477"/>
      <c r="Q21" s="377"/>
      <c r="R21" s="377"/>
      <c r="S21" s="377"/>
      <c r="T21" s="377"/>
    </row>
    <row r="22" customFormat="false" ht="15" hidden="false" customHeight="false" outlineLevel="0" collapsed="false">
      <c r="A22" s="486"/>
      <c r="B22" s="478"/>
      <c r="C22" s="478"/>
      <c r="D22" s="501"/>
      <c r="E22" s="499"/>
      <c r="F22" s="477"/>
      <c r="G22" s="499"/>
      <c r="H22" s="477"/>
      <c r="I22" s="477"/>
      <c r="J22" s="489"/>
      <c r="L22" s="477"/>
      <c r="M22" s="477"/>
      <c r="N22" s="477"/>
      <c r="O22" s="477"/>
      <c r="P22" s="477"/>
      <c r="Q22" s="377"/>
      <c r="R22" s="377"/>
      <c r="S22" s="377"/>
      <c r="T22" s="377"/>
    </row>
    <row r="23" customFormat="false" ht="15.75" hidden="false" customHeight="false" outlineLevel="0" collapsed="false">
      <c r="A23" s="502" t="s">
        <v>659</v>
      </c>
      <c r="B23" s="503"/>
      <c r="C23" s="503"/>
      <c r="D23" s="504"/>
      <c r="E23" s="503"/>
      <c r="F23" s="503"/>
      <c r="G23" s="484"/>
      <c r="H23" s="503"/>
      <c r="I23" s="505"/>
      <c r="J23" s="506"/>
      <c r="K23" s="505"/>
      <c r="L23" s="503"/>
      <c r="M23" s="505"/>
      <c r="N23" s="506"/>
      <c r="O23" s="505"/>
      <c r="P23" s="503"/>
      <c r="Q23" s="507" t="e">
        <f aca="false">SUM(Q7:Q21)</f>
        <v>#REF!</v>
      </c>
      <c r="R23" s="508"/>
      <c r="S23" s="507" t="e">
        <f aca="false">SUM(S7:S21)</f>
        <v>#REF!</v>
      </c>
      <c r="T23" s="508"/>
      <c r="U23" s="509"/>
      <c r="V23" s="509"/>
      <c r="W23" s="509"/>
      <c r="X23" s="509"/>
      <c r="Y23" s="509"/>
      <c r="Z23" s="509"/>
      <c r="AA23" s="509"/>
      <c r="AB23" s="509"/>
      <c r="AC23" s="509"/>
      <c r="AD23" s="509"/>
      <c r="AE23" s="509"/>
      <c r="AF23" s="509"/>
      <c r="AG23" s="509"/>
      <c r="AH23" s="509"/>
      <c r="AI23" s="509"/>
      <c r="AJ23" s="509"/>
      <c r="AK23" s="509"/>
      <c r="AL23" s="509"/>
      <c r="AM23" s="509"/>
      <c r="AN23" s="509"/>
      <c r="AO23" s="509"/>
      <c r="AP23" s="509"/>
      <c r="AQ23" s="509"/>
      <c r="AR23" s="509"/>
      <c r="AS23" s="509"/>
      <c r="AT23" s="509"/>
      <c r="AU23" s="509"/>
      <c r="AV23" s="509"/>
      <c r="AW23" s="509"/>
      <c r="AX23" s="509"/>
      <c r="AY23" s="509"/>
      <c r="AZ23" s="509"/>
      <c r="BA23" s="509"/>
      <c r="BB23" s="509"/>
      <c r="BC23" s="509"/>
      <c r="BD23" s="509"/>
      <c r="BE23" s="509"/>
      <c r="BF23" s="509"/>
      <c r="BG23" s="509"/>
      <c r="BH23" s="509"/>
      <c r="BI23" s="509"/>
      <c r="BJ23" s="509"/>
      <c r="BK23" s="509"/>
      <c r="BL23" s="509"/>
      <c r="BM23" s="509"/>
      <c r="BN23" s="509"/>
      <c r="BO23" s="509"/>
      <c r="BP23" s="509"/>
      <c r="BQ23" s="509"/>
      <c r="BR23" s="509"/>
      <c r="BS23" s="509"/>
      <c r="BT23" s="509"/>
      <c r="BU23" s="509"/>
      <c r="BV23" s="509"/>
      <c r="BW23" s="509"/>
      <c r="BX23" s="509"/>
      <c r="BY23" s="509"/>
      <c r="BZ23" s="509"/>
      <c r="CA23" s="509"/>
      <c r="CB23" s="509"/>
      <c r="CC23" s="509"/>
      <c r="CD23" s="509"/>
      <c r="CE23" s="509"/>
      <c r="CF23" s="509"/>
      <c r="CG23" s="509"/>
      <c r="CH23" s="509"/>
      <c r="CI23" s="509"/>
      <c r="CJ23" s="509"/>
      <c r="CK23" s="509"/>
      <c r="CL23" s="509"/>
      <c r="CM23" s="509"/>
      <c r="CN23" s="509"/>
      <c r="CO23" s="509"/>
      <c r="CP23" s="509"/>
      <c r="CQ23" s="509"/>
      <c r="CR23" s="509"/>
      <c r="CS23" s="509"/>
      <c r="CT23" s="509"/>
      <c r="CU23" s="509"/>
      <c r="CV23" s="509"/>
      <c r="CW23" s="509"/>
      <c r="CX23" s="509"/>
      <c r="CY23" s="509"/>
      <c r="CZ23" s="509"/>
      <c r="DA23" s="509"/>
      <c r="DB23" s="509"/>
      <c r="DC23" s="509"/>
      <c r="DD23" s="509"/>
      <c r="DE23" s="509"/>
      <c r="DF23" s="509"/>
      <c r="DG23" s="509"/>
      <c r="DH23" s="509"/>
      <c r="DI23" s="509"/>
      <c r="DJ23" s="509"/>
      <c r="DK23" s="509"/>
      <c r="DL23" s="509"/>
      <c r="DM23" s="509"/>
      <c r="DN23" s="509"/>
      <c r="DO23" s="509"/>
      <c r="DP23" s="509"/>
      <c r="DQ23" s="509"/>
      <c r="DR23" s="509"/>
      <c r="DS23" s="509"/>
      <c r="DT23" s="509"/>
      <c r="DU23" s="509"/>
      <c r="DV23" s="509"/>
      <c r="DW23" s="509"/>
      <c r="DX23" s="509"/>
      <c r="DY23" s="509"/>
      <c r="DZ23" s="509"/>
      <c r="EA23" s="509"/>
      <c r="EB23" s="509"/>
      <c r="EC23" s="509"/>
      <c r="ED23" s="509"/>
      <c r="EE23" s="509"/>
      <c r="EF23" s="509"/>
      <c r="EG23" s="509"/>
      <c r="EH23" s="509"/>
      <c r="EI23" s="509"/>
      <c r="EJ23" s="509"/>
      <c r="EK23" s="509"/>
      <c r="EL23" s="509"/>
      <c r="EM23" s="509"/>
      <c r="EN23" s="509"/>
      <c r="EO23" s="509"/>
      <c r="EP23" s="509"/>
      <c r="EQ23" s="509"/>
      <c r="ER23" s="509"/>
      <c r="ES23" s="509"/>
      <c r="ET23" s="509"/>
      <c r="EU23" s="509"/>
      <c r="EV23" s="509"/>
      <c r="EW23" s="509"/>
      <c r="EX23" s="509"/>
      <c r="EY23" s="509"/>
      <c r="EZ23" s="509"/>
      <c r="FA23" s="509"/>
      <c r="FB23" s="509"/>
      <c r="FC23" s="509"/>
      <c r="FD23" s="509"/>
      <c r="FE23" s="509"/>
      <c r="FF23" s="509"/>
      <c r="FG23" s="509"/>
      <c r="FH23" s="509"/>
      <c r="FI23" s="509"/>
      <c r="FJ23" s="509"/>
      <c r="FK23" s="509"/>
      <c r="FL23" s="509"/>
      <c r="FM23" s="509"/>
      <c r="FN23" s="509"/>
      <c r="FO23" s="509"/>
      <c r="FP23" s="509"/>
      <c r="FQ23" s="509"/>
      <c r="FR23" s="509"/>
      <c r="FS23" s="509"/>
      <c r="FT23" s="509"/>
      <c r="FU23" s="509"/>
      <c r="FV23" s="509"/>
      <c r="FW23" s="509"/>
      <c r="FX23" s="509"/>
      <c r="FY23" s="509"/>
      <c r="FZ23" s="509"/>
      <c r="GA23" s="509"/>
      <c r="GB23" s="509"/>
      <c r="GC23" s="509"/>
      <c r="GD23" s="509"/>
      <c r="GE23" s="509"/>
      <c r="GF23" s="509"/>
      <c r="GG23" s="509"/>
      <c r="GH23" s="509"/>
      <c r="GI23" s="509"/>
      <c r="GJ23" s="509"/>
      <c r="GK23" s="509"/>
      <c r="GL23" s="509"/>
      <c r="GM23" s="509"/>
      <c r="GN23" s="509"/>
      <c r="GO23" s="509"/>
      <c r="GP23" s="509"/>
      <c r="GQ23" s="509"/>
      <c r="GR23" s="509"/>
      <c r="GS23" s="509"/>
      <c r="GT23" s="509"/>
      <c r="GU23" s="509"/>
      <c r="GV23" s="509"/>
      <c r="GW23" s="509"/>
      <c r="GX23" s="509"/>
      <c r="GY23" s="509"/>
      <c r="GZ23" s="509"/>
      <c r="HA23" s="509"/>
      <c r="HB23" s="509"/>
      <c r="HC23" s="509"/>
      <c r="HD23" s="509"/>
      <c r="HE23" s="509"/>
      <c r="HF23" s="509"/>
      <c r="HG23" s="509"/>
      <c r="HH23" s="509"/>
      <c r="HI23" s="509"/>
      <c r="HJ23" s="509"/>
      <c r="HK23" s="509"/>
      <c r="HL23" s="509"/>
      <c r="HM23" s="509"/>
      <c r="HN23" s="509"/>
      <c r="HO23" s="509"/>
      <c r="HP23" s="509"/>
      <c r="HQ23" s="509"/>
      <c r="HR23" s="509"/>
      <c r="HS23" s="509"/>
      <c r="HT23" s="509"/>
      <c r="HU23" s="509"/>
      <c r="HV23" s="509"/>
      <c r="HW23" s="509"/>
      <c r="HX23" s="509"/>
      <c r="HY23" s="509"/>
      <c r="HZ23" s="509"/>
      <c r="IA23" s="509"/>
      <c r="IB23" s="509"/>
      <c r="IC23" s="509"/>
      <c r="ID23" s="509"/>
      <c r="IE23" s="509"/>
      <c r="IF23" s="509"/>
      <c r="IG23" s="509"/>
      <c r="IH23" s="509"/>
      <c r="II23" s="509"/>
      <c r="IJ23" s="509"/>
      <c r="IK23" s="509"/>
      <c r="IL23" s="509"/>
      <c r="IM23" s="509"/>
      <c r="IN23" s="509"/>
      <c r="IO23" s="509"/>
      <c r="IP23" s="509"/>
      <c r="IQ23" s="509"/>
      <c r="IR23" s="509"/>
      <c r="IS23" s="509"/>
      <c r="IT23" s="509"/>
      <c r="IU23" s="509"/>
      <c r="IV23" s="509"/>
      <c r="IW23" s="509"/>
    </row>
    <row r="24" customFormat="false" ht="15" hidden="false" customHeight="false" outlineLevel="0" collapsed="false">
      <c r="A24" s="477"/>
      <c r="B24" s="477"/>
      <c r="C24" s="477"/>
      <c r="D24" s="478"/>
      <c r="E24" s="477"/>
      <c r="F24" s="477"/>
      <c r="G24" s="477"/>
      <c r="H24" s="477"/>
      <c r="I24" s="477"/>
      <c r="J24" s="477"/>
      <c r="K24" s="477"/>
      <c r="L24" s="477"/>
      <c r="M24" s="477"/>
      <c r="N24" s="477"/>
      <c r="O24" s="477"/>
      <c r="P24" s="477"/>
      <c r="Q24" s="377"/>
      <c r="R24" s="377"/>
      <c r="S24" s="377"/>
      <c r="T24" s="377"/>
    </row>
    <row r="25" customFormat="false" ht="17.25" hidden="false" customHeight="false" outlineLevel="0" collapsed="false">
      <c r="A25" s="510"/>
      <c r="B25" s="511"/>
      <c r="C25" s="511"/>
      <c r="D25" s="478"/>
      <c r="E25" s="477"/>
      <c r="F25" s="477"/>
      <c r="G25" s="477"/>
      <c r="H25" s="477"/>
      <c r="I25" s="512"/>
      <c r="J25" s="513"/>
      <c r="K25" s="512"/>
      <c r="L25" s="477"/>
      <c r="M25" s="477"/>
      <c r="N25" s="503"/>
      <c r="O25" s="503"/>
      <c r="P25" s="503"/>
      <c r="Q25" s="508"/>
      <c r="R25" s="377"/>
      <c r="S25" s="377"/>
      <c r="T25" s="377"/>
    </row>
    <row r="26" customFormat="false" ht="17.25" hidden="false" customHeight="false" outlineLevel="0" collapsed="false">
      <c r="A26" s="510"/>
      <c r="B26" s="511"/>
      <c r="C26" s="511"/>
      <c r="D26" s="514"/>
      <c r="E26" s="477"/>
      <c r="F26" s="477"/>
      <c r="G26" s="477"/>
      <c r="H26" s="377"/>
      <c r="I26" s="377"/>
      <c r="J26" s="377"/>
      <c r="K26" s="486" t="s">
        <v>311</v>
      </c>
      <c r="L26" s="477"/>
      <c r="M26" s="515"/>
      <c r="N26" s="503"/>
      <c r="O26" s="516"/>
      <c r="P26" s="503"/>
      <c r="Q26" s="517" t="e">
        <f aca="false">+Q23</f>
        <v>#REF!</v>
      </c>
      <c r="R26" s="517"/>
      <c r="S26" s="517" t="e">
        <f aca="false">+S23</f>
        <v>#REF!</v>
      </c>
      <c r="T26" s="377"/>
    </row>
    <row r="27" customFormat="false" ht="15" hidden="false" customHeight="false" outlineLevel="0" collapsed="false">
      <c r="A27" s="477"/>
      <c r="B27" s="477"/>
      <c r="C27" s="477"/>
      <c r="D27" s="478"/>
      <c r="E27" s="477"/>
      <c r="F27" s="477"/>
      <c r="G27" s="477"/>
      <c r="H27" s="377"/>
      <c r="I27" s="377"/>
      <c r="J27" s="377"/>
      <c r="K27" s="477"/>
      <c r="L27" s="477"/>
      <c r="M27" s="477"/>
      <c r="N27" s="503"/>
      <c r="O27" s="503"/>
      <c r="P27" s="503"/>
      <c r="Q27" s="512"/>
      <c r="R27" s="513"/>
      <c r="S27" s="512"/>
      <c r="T27" s="377"/>
    </row>
    <row r="28" customFormat="false" ht="14.25" hidden="false" customHeight="false" outlineLevel="0" collapsed="false">
      <c r="A28" s="477"/>
      <c r="B28" s="477"/>
      <c r="C28" s="477"/>
      <c r="D28" s="478"/>
      <c r="E28" s="477"/>
      <c r="F28" s="477"/>
      <c r="G28" s="477"/>
      <c r="H28" s="377"/>
      <c r="I28" s="377"/>
      <c r="J28" s="377"/>
      <c r="K28" s="518" t="s">
        <v>660</v>
      </c>
      <c r="L28" s="477"/>
      <c r="M28" s="477"/>
      <c r="N28" s="477"/>
      <c r="O28" s="477"/>
      <c r="P28" s="477"/>
      <c r="Q28" s="519" t="e">
        <f aca="false">Q26/'Corp I-S&amp;B-S'!$I$38</f>
        <v>#REF!</v>
      </c>
      <c r="R28" s="520" t="s">
        <v>656</v>
      </c>
      <c r="S28" s="519" t="e">
        <f aca="false">S26/'Corp I-S&amp;B-S'!$I$38</f>
        <v>#REF!</v>
      </c>
      <c r="T28" s="377"/>
    </row>
    <row r="29" customFormat="false" ht="14.25" hidden="false" customHeight="false" outlineLevel="0" collapsed="false">
      <c r="A29" s="477"/>
      <c r="B29" s="477"/>
      <c r="C29" s="477"/>
      <c r="D29" s="478"/>
      <c r="E29" s="477"/>
      <c r="F29" s="477"/>
      <c r="G29" s="477"/>
      <c r="H29" s="377"/>
      <c r="I29" s="377"/>
      <c r="J29" s="377"/>
      <c r="K29" s="477"/>
      <c r="L29" s="477"/>
      <c r="M29" s="477"/>
      <c r="N29" s="477"/>
      <c r="O29" s="477"/>
      <c r="P29" s="477"/>
      <c r="Q29" s="477"/>
      <c r="R29" s="477"/>
      <c r="S29" s="477"/>
      <c r="T29" s="377"/>
    </row>
    <row r="30" customFormat="false" ht="14.25" hidden="false" customHeight="false" outlineLevel="0" collapsed="false">
      <c r="A30" s="477" t="s">
        <v>661</v>
      </c>
      <c r="B30" s="477"/>
      <c r="C30" s="477"/>
      <c r="D30" s="478"/>
      <c r="E30" s="477"/>
      <c r="F30" s="477"/>
      <c r="G30" s="477"/>
      <c r="H30" s="377"/>
      <c r="I30" s="377"/>
      <c r="J30" s="377"/>
      <c r="K30" s="521" t="s">
        <v>662</v>
      </c>
      <c r="L30" s="477"/>
      <c r="M30" s="477"/>
      <c r="N30" s="477"/>
      <c r="O30" s="477"/>
      <c r="P30" s="477"/>
      <c r="Q30" s="477"/>
      <c r="R30" s="522" t="n">
        <f aca="false">+'Corp I-S&amp;B-S'!D54</f>
        <v>21.4375</v>
      </c>
      <c r="S30" s="477"/>
      <c r="T30" s="377"/>
    </row>
    <row r="31" customFormat="false" ht="15" hidden="false" customHeight="false" outlineLevel="0" collapsed="false">
      <c r="A31" s="477"/>
      <c r="B31" s="477"/>
      <c r="C31" s="477"/>
      <c r="D31" s="478"/>
      <c r="E31" s="477"/>
      <c r="F31" s="477"/>
      <c r="G31" s="477"/>
      <c r="H31" s="377"/>
      <c r="I31" s="377"/>
      <c r="J31" s="377"/>
      <c r="K31" s="477" t="s">
        <v>163</v>
      </c>
      <c r="L31" s="477"/>
      <c r="M31" s="477"/>
      <c r="N31" s="477"/>
      <c r="O31" s="477"/>
      <c r="P31" s="477"/>
      <c r="Q31" s="523" t="e">
        <f aca="false">+(Q28-R30)/R30</f>
        <v>#REF!</v>
      </c>
      <c r="R31" s="524" t="s">
        <v>132</v>
      </c>
      <c r="S31" s="523" t="e">
        <f aca="false">(S28-R30)/R30</f>
        <v>#REF!</v>
      </c>
      <c r="T31" s="377"/>
    </row>
    <row r="32" customFormat="false" ht="15" hidden="false" customHeight="false" outlineLevel="0" collapsed="false">
      <c r="A32" s="525"/>
      <c r="B32" s="525"/>
      <c r="C32" s="525"/>
      <c r="D32" s="526"/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</row>
    <row r="33" customFormat="false" ht="12.75" hidden="false" customHeight="false" outlineLevel="0" collapsed="false">
      <c r="H33" s="527"/>
      <c r="I33" s="527"/>
      <c r="J33" s="527"/>
      <c r="K33" s="527"/>
      <c r="L33" s="527"/>
      <c r="M33" s="527"/>
      <c r="N33" s="527"/>
    </row>
    <row r="34" customFormat="false" ht="15.75" hidden="false" customHeight="false" outlineLevel="0" collapsed="false">
      <c r="A34" s="528"/>
    </row>
    <row r="35" customFormat="false" ht="12.75" hidden="false" customHeight="false" outlineLevel="0" collapsed="false">
      <c r="A35" s="492"/>
    </row>
    <row r="37" customFormat="false" ht="12.75" hidden="false" customHeight="false" outlineLevel="0" collapsed="false">
      <c r="A37" s="529"/>
      <c r="B37" s="530"/>
      <c r="C37" s="530"/>
      <c r="D37" s="529"/>
      <c r="E37" s="529"/>
      <c r="F37" s="529"/>
      <c r="G37" s="529"/>
      <c r="H37" s="529"/>
      <c r="I37" s="531"/>
      <c r="J37" s="531"/>
      <c r="K37" s="531"/>
      <c r="L37" s="531"/>
      <c r="M37" s="529"/>
      <c r="N37" s="532"/>
      <c r="O37" s="532"/>
      <c r="P37" s="532"/>
      <c r="Q37" s="532"/>
      <c r="R37" s="532"/>
      <c r="S37" s="532"/>
      <c r="T37" s="531"/>
      <c r="U37" s="531"/>
      <c r="V37" s="532"/>
      <c r="W37" s="532"/>
      <c r="X37" s="462"/>
      <c r="Y37" s="462"/>
      <c r="Z37" s="462"/>
      <c r="AA37" s="462"/>
    </row>
    <row r="38" customFormat="false" ht="12.75" hidden="false" customHeight="false" outlineLevel="0" collapsed="false">
      <c r="A38" s="533"/>
      <c r="B38" s="533"/>
      <c r="C38" s="533"/>
      <c r="D38" s="533"/>
      <c r="E38" s="533"/>
      <c r="F38" s="533"/>
      <c r="G38" s="533"/>
      <c r="H38" s="533"/>
      <c r="I38" s="534"/>
      <c r="J38" s="534"/>
      <c r="K38" s="534"/>
      <c r="L38" s="534"/>
      <c r="M38" s="534"/>
      <c r="N38" s="534"/>
      <c r="O38" s="534"/>
      <c r="P38" s="534"/>
      <c r="Q38" s="534"/>
      <c r="R38" s="534"/>
      <c r="S38" s="534"/>
      <c r="T38" s="534"/>
      <c r="U38" s="534"/>
      <c r="V38" s="534"/>
      <c r="W38" s="534"/>
      <c r="X38" s="535"/>
      <c r="Y38" s="535"/>
      <c r="Z38" s="535"/>
      <c r="AA38" s="535"/>
    </row>
    <row r="39" customFormat="false" ht="12.75" hidden="false" customHeight="false" outlineLevel="0" collapsed="false">
      <c r="A39" s="529"/>
      <c r="B39" s="367"/>
      <c r="C39" s="367"/>
      <c r="D39" s="529"/>
      <c r="E39" s="529"/>
      <c r="F39" s="529"/>
      <c r="G39" s="529"/>
      <c r="H39" s="529"/>
      <c r="I39" s="529"/>
      <c r="J39" s="529"/>
      <c r="K39" s="529"/>
      <c r="L39" s="529"/>
      <c r="M39" s="529"/>
      <c r="N39" s="536"/>
      <c r="O39" s="537"/>
      <c r="P39" s="536"/>
      <c r="Q39" s="538"/>
      <c r="R39" s="538"/>
      <c r="S39" s="538"/>
      <c r="T39" s="537"/>
      <c r="U39" s="537"/>
      <c r="V39" s="536"/>
      <c r="W39" s="536"/>
      <c r="X39" s="537"/>
      <c r="Y39" s="537"/>
      <c r="Z39" s="537"/>
      <c r="AA39" s="537"/>
    </row>
    <row r="40" customFormat="false" ht="12.75" hidden="false" customHeight="false" outlineLevel="0" collapsed="false">
      <c r="A40" s="529"/>
      <c r="B40" s="367"/>
      <c r="C40" s="367"/>
      <c r="D40" s="529"/>
      <c r="E40" s="529"/>
      <c r="F40" s="529"/>
      <c r="G40" s="529"/>
      <c r="H40" s="529"/>
      <c r="I40" s="529"/>
      <c r="J40" s="529"/>
      <c r="K40" s="529"/>
      <c r="L40" s="529"/>
      <c r="M40" s="529"/>
      <c r="N40" s="536"/>
      <c r="O40" s="537"/>
      <c r="P40" s="536"/>
      <c r="Q40" s="538"/>
      <c r="R40" s="538"/>
      <c r="S40" s="538"/>
      <c r="T40" s="537"/>
      <c r="U40" s="537"/>
      <c r="V40" s="536"/>
      <c r="W40" s="536"/>
      <c r="X40" s="537"/>
      <c r="Y40" s="537"/>
      <c r="Z40" s="537"/>
      <c r="AA40" s="537"/>
    </row>
    <row r="41" customFormat="false" ht="12.75" hidden="false" customHeight="false" outlineLevel="0" collapsed="false">
      <c r="A41" s="529"/>
      <c r="B41" s="367"/>
      <c r="C41" s="367"/>
      <c r="D41" s="529"/>
      <c r="E41" s="529"/>
      <c r="F41" s="529"/>
      <c r="G41" s="529"/>
      <c r="H41" s="529"/>
      <c r="I41" s="529"/>
      <c r="J41" s="529"/>
      <c r="K41" s="529"/>
      <c r="L41" s="529"/>
      <c r="M41" s="529"/>
      <c r="N41" s="536"/>
      <c r="O41" s="537"/>
      <c r="P41" s="536"/>
      <c r="Q41" s="538"/>
      <c r="R41" s="538"/>
      <c r="S41" s="538"/>
      <c r="T41" s="537"/>
      <c r="U41" s="537"/>
      <c r="V41" s="536"/>
      <c r="W41" s="536"/>
      <c r="X41" s="537"/>
      <c r="Y41" s="537"/>
      <c r="Z41" s="537"/>
      <c r="AA41" s="537"/>
    </row>
    <row r="42" customFormat="false" ht="12.75" hidden="false" customHeight="false" outlineLevel="0" collapsed="false">
      <c r="A42" s="529"/>
      <c r="B42" s="367"/>
      <c r="C42" s="367"/>
      <c r="D42" s="529"/>
      <c r="E42" s="529"/>
      <c r="F42" s="529"/>
      <c r="G42" s="529"/>
      <c r="H42" s="529"/>
      <c r="I42" s="539"/>
      <c r="J42" s="537"/>
      <c r="K42" s="529"/>
      <c r="L42" s="529"/>
      <c r="M42" s="529"/>
      <c r="N42" s="536"/>
      <c r="O42" s="537"/>
      <c r="P42" s="536"/>
      <c r="Q42" s="538"/>
      <c r="R42" s="538"/>
      <c r="S42" s="538"/>
      <c r="T42" s="537"/>
      <c r="U42" s="537"/>
      <c r="V42" s="536"/>
      <c r="W42" s="536"/>
      <c r="X42" s="537"/>
      <c r="Y42" s="537"/>
      <c r="Z42" s="537"/>
      <c r="AA42" s="537"/>
    </row>
    <row r="43" customFormat="false" ht="12.75" hidden="false" customHeight="false" outlineLevel="0" collapsed="false">
      <c r="A43" s="529"/>
      <c r="B43" s="367"/>
      <c r="C43" s="367"/>
      <c r="D43" s="529"/>
      <c r="E43" s="529"/>
      <c r="F43" s="529"/>
      <c r="G43" s="529"/>
      <c r="H43" s="529"/>
      <c r="I43" s="539"/>
      <c r="J43" s="537"/>
      <c r="K43" s="529"/>
      <c r="L43" s="529"/>
      <c r="M43" s="529"/>
      <c r="N43" s="536"/>
      <c r="O43" s="537"/>
      <c r="P43" s="536"/>
      <c r="Q43" s="538"/>
      <c r="R43" s="538"/>
      <c r="S43" s="538"/>
      <c r="T43" s="537"/>
      <c r="U43" s="537"/>
      <c r="V43" s="536"/>
      <c r="W43" s="536"/>
      <c r="X43" s="537"/>
      <c r="Y43" s="537"/>
      <c r="Z43" s="537"/>
      <c r="AA43" s="537"/>
    </row>
    <row r="44" customFormat="false" ht="12.75" hidden="false" customHeight="false" outlineLevel="0" collapsed="false">
      <c r="A44" s="529"/>
      <c r="B44" s="367"/>
      <c r="C44" s="367"/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536"/>
      <c r="O44" s="537"/>
      <c r="P44" s="536"/>
      <c r="Q44" s="538"/>
      <c r="R44" s="538"/>
      <c r="S44" s="538"/>
      <c r="T44" s="537"/>
      <c r="U44" s="537"/>
      <c r="V44" s="536"/>
      <c r="W44" s="536"/>
      <c r="X44" s="537"/>
      <c r="Y44" s="537"/>
      <c r="Z44" s="537"/>
      <c r="AA44" s="537"/>
    </row>
    <row r="45" customFormat="false" ht="12.75" hidden="false" customHeight="false" outlineLevel="0" collapsed="false">
      <c r="A45" s="529"/>
      <c r="B45" s="367"/>
      <c r="C45" s="367"/>
      <c r="D45" s="529"/>
      <c r="E45" s="529"/>
      <c r="F45" s="529"/>
      <c r="G45" s="529"/>
      <c r="H45" s="529"/>
      <c r="I45" s="529"/>
      <c r="J45" s="529"/>
      <c r="K45" s="529"/>
      <c r="L45" s="529"/>
      <c r="M45" s="529"/>
      <c r="N45" s="536"/>
      <c r="O45" s="537"/>
      <c r="P45" s="536"/>
      <c r="Q45" s="538"/>
      <c r="R45" s="538"/>
      <c r="S45" s="538"/>
      <c r="T45" s="537"/>
      <c r="U45" s="537"/>
      <c r="V45" s="536"/>
      <c r="W45" s="536"/>
      <c r="X45" s="537"/>
      <c r="Y45" s="537"/>
      <c r="Z45" s="537"/>
      <c r="AA45" s="537"/>
    </row>
    <row r="46" customFormat="false" ht="12.75" hidden="false" customHeight="false" outlineLevel="0" collapsed="false">
      <c r="A46" s="529"/>
      <c r="B46" s="367"/>
      <c r="C46" s="367"/>
      <c r="D46" s="529"/>
      <c r="E46" s="529"/>
      <c r="F46" s="529"/>
      <c r="G46" s="529"/>
      <c r="H46" s="529"/>
      <c r="I46" s="529"/>
      <c r="J46" s="529"/>
      <c r="K46" s="529"/>
      <c r="L46" s="529"/>
      <c r="M46" s="529"/>
      <c r="N46" s="536"/>
      <c r="O46" s="537"/>
      <c r="P46" s="536"/>
      <c r="Q46" s="538"/>
      <c r="R46" s="538"/>
      <c r="S46" s="538"/>
      <c r="T46" s="537"/>
      <c r="U46" s="537"/>
      <c r="V46" s="536"/>
      <c r="W46" s="536"/>
      <c r="X46" s="537"/>
      <c r="Y46" s="537"/>
      <c r="Z46" s="537"/>
      <c r="AA46" s="537"/>
    </row>
    <row r="47" customFormat="false" ht="12.75" hidden="false" customHeight="false" outlineLevel="0" collapsed="false">
      <c r="A47" s="529"/>
      <c r="B47" s="367"/>
      <c r="C47" s="367"/>
      <c r="D47" s="529"/>
      <c r="E47" s="529"/>
      <c r="F47" s="529"/>
      <c r="G47" s="529"/>
      <c r="H47" s="529"/>
      <c r="I47" s="529"/>
      <c r="J47" s="529"/>
      <c r="K47" s="529"/>
      <c r="L47" s="529"/>
      <c r="M47" s="529"/>
      <c r="N47" s="536"/>
      <c r="O47" s="537"/>
      <c r="P47" s="536"/>
      <c r="Q47" s="538"/>
      <c r="R47" s="538"/>
      <c r="S47" s="538"/>
      <c r="T47" s="537"/>
      <c r="U47" s="537"/>
      <c r="V47" s="536"/>
      <c r="W47" s="536"/>
      <c r="X47" s="537"/>
      <c r="Y47" s="537"/>
      <c r="Z47" s="537"/>
      <c r="AA47" s="537"/>
    </row>
    <row r="48" customFormat="false" ht="12.75" hidden="false" customHeight="false" outlineLevel="0" collapsed="false">
      <c r="A48" s="529"/>
      <c r="B48" s="367"/>
      <c r="C48" s="367"/>
      <c r="D48" s="529"/>
      <c r="E48" s="529"/>
      <c r="F48" s="529"/>
      <c r="G48" s="529"/>
      <c r="H48" s="529"/>
      <c r="I48" s="529"/>
      <c r="J48" s="529"/>
      <c r="K48" s="529"/>
      <c r="L48" s="529"/>
      <c r="M48" s="529"/>
      <c r="N48" s="536"/>
      <c r="O48" s="537"/>
      <c r="P48" s="536"/>
      <c r="Q48" s="538"/>
      <c r="R48" s="538"/>
      <c r="S48" s="538"/>
      <c r="T48" s="537"/>
      <c r="U48" s="537"/>
      <c r="V48" s="536"/>
      <c r="W48" s="536"/>
      <c r="X48" s="537"/>
      <c r="Y48" s="537"/>
      <c r="Z48" s="537"/>
      <c r="AA48" s="537"/>
    </row>
    <row r="49" customFormat="false" ht="12.75" hidden="false" customHeight="false" outlineLevel="0" collapsed="false">
      <c r="A49" s="529"/>
      <c r="B49" s="367"/>
      <c r="C49" s="367"/>
      <c r="D49" s="529"/>
      <c r="E49" s="529"/>
      <c r="F49" s="529"/>
      <c r="G49" s="529"/>
      <c r="H49" s="529"/>
      <c r="I49" s="529"/>
      <c r="J49" s="529"/>
      <c r="K49" s="529"/>
      <c r="L49" s="529"/>
      <c r="M49" s="529"/>
      <c r="N49" s="536"/>
      <c r="O49" s="537"/>
      <c r="P49" s="536"/>
      <c r="Q49" s="538"/>
      <c r="R49" s="538"/>
      <c r="S49" s="538"/>
      <c r="T49" s="537"/>
      <c r="U49" s="537"/>
      <c r="V49" s="536"/>
      <c r="W49" s="536"/>
      <c r="X49" s="537"/>
      <c r="Y49" s="537"/>
      <c r="Z49" s="537"/>
      <c r="AA49" s="537"/>
    </row>
    <row r="50" customFormat="false" ht="12.75" hidden="false" customHeight="false" outlineLevel="0" collapsed="false">
      <c r="A50" s="529"/>
      <c r="B50" s="529"/>
      <c r="C50" s="529"/>
      <c r="D50" s="529"/>
      <c r="E50" s="529"/>
      <c r="F50" s="529"/>
      <c r="G50" s="529"/>
      <c r="H50" s="529"/>
      <c r="I50" s="529"/>
      <c r="J50" s="529"/>
      <c r="K50" s="529"/>
      <c r="L50" s="529"/>
      <c r="M50" s="529"/>
      <c r="N50" s="536"/>
      <c r="O50" s="536"/>
      <c r="P50" s="536"/>
      <c r="Q50" s="540"/>
      <c r="R50" s="540"/>
      <c r="S50" s="540"/>
      <c r="T50" s="536"/>
      <c r="U50" s="529"/>
      <c r="V50" s="536"/>
      <c r="W50" s="536"/>
    </row>
    <row r="51" customFormat="false" ht="12.75" hidden="false" customHeight="false" outlineLevel="0" collapsed="false">
      <c r="I51" s="536"/>
      <c r="J51" s="536"/>
      <c r="K51" s="536"/>
      <c r="Q51" s="536"/>
    </row>
    <row r="112" customFormat="false" ht="13.5" hidden="false" customHeight="false" outlineLevel="0" collapsed="false">
      <c r="A112" s="529"/>
      <c r="B112" s="529"/>
      <c r="C112" s="529"/>
      <c r="D112" s="529"/>
      <c r="E112" s="529"/>
      <c r="F112" s="529"/>
      <c r="G112" s="529"/>
      <c r="H112" s="529"/>
      <c r="I112" s="529"/>
      <c r="J112" s="529"/>
      <c r="K112" s="529"/>
      <c r="L112" s="529" t="s">
        <v>663</v>
      </c>
      <c r="M112" s="529" t="s">
        <v>415</v>
      </c>
      <c r="N112" s="529" t="s">
        <v>415</v>
      </c>
      <c r="O112" s="529"/>
      <c r="P112" s="529"/>
      <c r="Q112" s="541"/>
      <c r="R112" s="541"/>
      <c r="S112" s="541"/>
      <c r="T112" s="529"/>
      <c r="U112" s="529"/>
      <c r="V112" s="529"/>
      <c r="W112" s="529"/>
    </row>
    <row r="113" customFormat="false" ht="12.75" hidden="false" customHeight="false" outlineLevel="0" collapsed="false">
      <c r="A113" s="542"/>
      <c r="B113" s="543" t="n">
        <v>36503</v>
      </c>
      <c r="C113" s="543"/>
      <c r="D113" s="544" t="s">
        <v>4</v>
      </c>
      <c r="E113" s="544" t="s">
        <v>515</v>
      </c>
      <c r="F113" s="544" t="s">
        <v>528</v>
      </c>
      <c r="G113" s="544" t="s">
        <v>509</v>
      </c>
      <c r="H113" s="544" t="s">
        <v>529</v>
      </c>
      <c r="I113" s="545" t="s">
        <v>61</v>
      </c>
      <c r="J113" s="545" t="s">
        <v>61</v>
      </c>
      <c r="K113" s="545" t="s">
        <v>61</v>
      </c>
      <c r="L113" s="545" t="s">
        <v>61</v>
      </c>
      <c r="M113" s="544" t="s">
        <v>61</v>
      </c>
      <c r="N113" s="544" t="s">
        <v>517</v>
      </c>
      <c r="O113" s="544" t="s">
        <v>518</v>
      </c>
      <c r="P113" s="544" t="s">
        <v>519</v>
      </c>
      <c r="Q113" s="546" t="s">
        <v>520</v>
      </c>
      <c r="R113" s="546" t="s">
        <v>520</v>
      </c>
      <c r="S113" s="546" t="s">
        <v>520</v>
      </c>
      <c r="T113" s="545" t="s">
        <v>61</v>
      </c>
      <c r="U113" s="545" t="s">
        <v>61</v>
      </c>
      <c r="V113" s="544" t="s">
        <v>517</v>
      </c>
      <c r="W113" s="544" t="s">
        <v>517</v>
      </c>
      <c r="X113" s="547" t="s">
        <v>521</v>
      </c>
      <c r="Y113" s="547" t="s">
        <v>522</v>
      </c>
      <c r="Z113" s="547" t="s">
        <v>521</v>
      </c>
      <c r="AA113" s="548" t="s">
        <v>522</v>
      </c>
    </row>
    <row r="114" customFormat="false" ht="12.75" hidden="false" customHeight="false" outlineLevel="0" collapsed="false">
      <c r="A114" s="549" t="s">
        <v>664</v>
      </c>
      <c r="B114" s="533" t="s">
        <v>525</v>
      </c>
      <c r="C114" s="533"/>
      <c r="D114" s="533" t="s">
        <v>526</v>
      </c>
      <c r="E114" s="533" t="s">
        <v>527</v>
      </c>
      <c r="F114" s="533"/>
      <c r="G114" s="533"/>
      <c r="H114" s="533"/>
      <c r="I114" s="534" t="n">
        <v>1996</v>
      </c>
      <c r="J114" s="534" t="n">
        <v>1997</v>
      </c>
      <c r="K114" s="534" t="n">
        <v>1998</v>
      </c>
      <c r="L114" s="534" t="n">
        <v>1998</v>
      </c>
      <c r="M114" s="534" t="n">
        <v>1999</v>
      </c>
      <c r="N114" s="534" t="n">
        <v>1999</v>
      </c>
      <c r="O114" s="534" t="n">
        <v>1999</v>
      </c>
      <c r="P114" s="534" t="n">
        <v>1998</v>
      </c>
      <c r="Q114" s="534" t="n">
        <v>1996</v>
      </c>
      <c r="R114" s="534" t="n">
        <v>1997</v>
      </c>
      <c r="S114" s="534" t="n">
        <v>1998</v>
      </c>
      <c r="T114" s="534" t="n">
        <v>1999</v>
      </c>
      <c r="U114" s="534" t="n">
        <v>2000</v>
      </c>
      <c r="V114" s="534" t="n">
        <v>1999</v>
      </c>
      <c r="W114" s="534" t="n">
        <v>2000</v>
      </c>
      <c r="X114" s="535" t="n">
        <v>1999</v>
      </c>
      <c r="Y114" s="535" t="n">
        <v>1999</v>
      </c>
      <c r="Z114" s="535" t="n">
        <v>2000</v>
      </c>
      <c r="AA114" s="550" t="n">
        <v>2000</v>
      </c>
    </row>
    <row r="115" customFormat="false" ht="12.75" hidden="false" customHeight="false" outlineLevel="0" collapsed="false">
      <c r="A115" s="551" t="s">
        <v>665</v>
      </c>
      <c r="B115" s="367" t="n">
        <v>15</v>
      </c>
      <c r="C115" s="367"/>
      <c r="D115" s="532" t="n">
        <v>2.397453</v>
      </c>
      <c r="E115" s="532" t="n">
        <f aca="false">B115*D115</f>
        <v>35.961795</v>
      </c>
      <c r="F115" s="552" t="n">
        <f aca="false">51.729581+2.45</f>
        <v>54.179581</v>
      </c>
      <c r="G115" s="552" t="n">
        <v>0.34533</v>
      </c>
      <c r="H115" s="532" t="n">
        <v>0</v>
      </c>
      <c r="I115" s="532" t="n">
        <f aca="false">5.469558+1.5595+2.510952</f>
        <v>9.54001</v>
      </c>
      <c r="J115" s="532" t="n">
        <f aca="false">5.356456+0.9648+2.935257</f>
        <v>9.256513</v>
      </c>
      <c r="K115" s="532" t="n">
        <f aca="false">6.79977+1.401+3.445382</f>
        <v>11.646152</v>
      </c>
      <c r="L115" s="532" t="n">
        <f aca="false">3.657209+0.97452+1.469425</f>
        <v>6.101154</v>
      </c>
      <c r="M115" s="532" t="n">
        <f aca="false">L115-(3.452451+0.868254+1.377325)+6.79977+1.401+3.445382</f>
        <v>12.049276</v>
      </c>
      <c r="N115" s="553" t="e">
        <f aca="false">#REF!/M115</f>
        <v>#REF!</v>
      </c>
      <c r="O115" s="554" t="n">
        <v>94.5842</v>
      </c>
      <c r="P115" s="553" t="e">
        <f aca="false">#REF!/O115</f>
        <v>#REF!</v>
      </c>
      <c r="Q115" s="555" t="e">
        <f aca="false">I115/#REF!</f>
        <v>#REF!</v>
      </c>
      <c r="R115" s="555" t="e">
        <f aca="false">J115/#REF!</f>
        <v>#REF!</v>
      </c>
      <c r="S115" s="555" t="e">
        <f aca="false">K115/#REF!</f>
        <v>#REF!</v>
      </c>
      <c r="T115" s="554" t="n">
        <f aca="false">X115*D115*4.5</f>
        <v>11.327965425</v>
      </c>
      <c r="U115" s="554" t="n">
        <f aca="false">D115*Z115*4.5</f>
        <v>13.269902355</v>
      </c>
      <c r="V115" s="553" t="e">
        <f aca="false">#REF!/T115</f>
        <v>#REF!</v>
      </c>
      <c r="W115" s="553" t="e">
        <f aca="false">#REF!/U115</f>
        <v>#REF!</v>
      </c>
      <c r="X115" s="556" t="n">
        <v>1.05</v>
      </c>
      <c r="Y115" s="555" t="n">
        <f aca="false">B115/X115</f>
        <v>14.2857142857143</v>
      </c>
      <c r="Z115" s="556" t="n">
        <v>1.23</v>
      </c>
      <c r="AA115" s="557" t="n">
        <f aca="false">B115/Z115</f>
        <v>12.1951219512195</v>
      </c>
    </row>
    <row r="116" customFormat="false" ht="12.75" hidden="false" customHeight="false" outlineLevel="0" collapsed="false">
      <c r="A116" s="551" t="s">
        <v>666</v>
      </c>
      <c r="B116" s="367" t="n">
        <f aca="false">54+3/8</f>
        <v>54.375</v>
      </c>
      <c r="C116" s="367"/>
      <c r="D116" s="532" t="n">
        <v>3.32</v>
      </c>
      <c r="E116" s="532" t="n">
        <f aca="false">B116*D116</f>
        <v>180.525</v>
      </c>
      <c r="F116" s="532" t="n">
        <f aca="false">44.815+0.939</f>
        <v>45.754</v>
      </c>
      <c r="G116" s="552" t="n">
        <v>6.247</v>
      </c>
      <c r="H116" s="532" t="n">
        <v>0</v>
      </c>
      <c r="I116" s="532" t="n">
        <f aca="false">8.947+0.907+3.635+5.825</f>
        <v>19.314</v>
      </c>
      <c r="J116" s="532" t="n">
        <f aca="false">9.547+0.956+6.153+3.808</f>
        <v>20.464</v>
      </c>
      <c r="K116" s="532" t="n">
        <f aca="false">8.951+1.173+6.604+3.102</f>
        <v>19.83</v>
      </c>
      <c r="L116" s="532" t="n">
        <f aca="false">7.856+0.532+2.154+4.226</f>
        <v>14.768</v>
      </c>
      <c r="M116" s="532" t="n">
        <f aca="false">L116-(6.658+0.337+1.725+3.427)+8.951+1.173+3.102+6.604</f>
        <v>22.451</v>
      </c>
      <c r="N116" s="553" t="e">
        <f aca="false">#REF!/M116</f>
        <v>#REF!</v>
      </c>
      <c r="O116" s="554" t="n">
        <v>116.763</v>
      </c>
      <c r="P116" s="553" t="e">
        <f aca="false">#REF!/O116</f>
        <v>#REF!</v>
      </c>
      <c r="Q116" s="555" t="e">
        <f aca="false">I116/#REF!</f>
        <v>#REF!</v>
      </c>
      <c r="R116" s="555" t="e">
        <f aca="false">J116/#REF!</f>
        <v>#REF!</v>
      </c>
      <c r="S116" s="555" t="e">
        <f aca="false">K116/#REF!</f>
        <v>#REF!</v>
      </c>
      <c r="T116" s="554" t="n">
        <f aca="false">X116*D116*3.1</f>
        <v>19.5548</v>
      </c>
      <c r="U116" s="554" t="n">
        <f aca="false">D116*Z116*3.1</f>
        <v>20.89276</v>
      </c>
      <c r="V116" s="553" t="e">
        <f aca="false">#REF!/T116</f>
        <v>#REF!</v>
      </c>
      <c r="W116" s="553" t="e">
        <f aca="false">#REF!/U116</f>
        <v>#REF!</v>
      </c>
      <c r="X116" s="556" t="n">
        <v>1.9</v>
      </c>
      <c r="Y116" s="555" t="n">
        <f aca="false">B116/X116</f>
        <v>28.6184210526316</v>
      </c>
      <c r="Z116" s="556" t="n">
        <v>2.03</v>
      </c>
      <c r="AA116" s="557" t="n">
        <f aca="false">B116/Z116</f>
        <v>26.7857142857143</v>
      </c>
    </row>
    <row r="117" customFormat="false" ht="12.75" hidden="false" customHeight="false" outlineLevel="0" collapsed="false">
      <c r="A117" s="551" t="s">
        <v>667</v>
      </c>
      <c r="B117" s="367" t="n">
        <f aca="false">21+1/4</f>
        <v>21.25</v>
      </c>
      <c r="C117" s="367"/>
      <c r="D117" s="532" t="n">
        <v>2.195585</v>
      </c>
      <c r="E117" s="532" t="n">
        <f aca="false">B117*D117</f>
        <v>46.65618125</v>
      </c>
      <c r="F117" s="532" t="n">
        <v>19.5</v>
      </c>
      <c r="G117" s="552" t="n">
        <v>0.420595</v>
      </c>
      <c r="H117" s="532" t="n">
        <v>0</v>
      </c>
      <c r="I117" s="554" t="n">
        <f aca="false">3.1335+0.341432+1.608641</f>
        <v>5.083573</v>
      </c>
      <c r="J117" s="532" t="n">
        <f aca="false">3.710948+0.427768+1.934959</f>
        <v>6.073675</v>
      </c>
      <c r="K117" s="532" t="n">
        <f aca="false">3.849352+0.686909+2.050207</f>
        <v>6.586468</v>
      </c>
      <c r="L117" s="532" t="n">
        <f aca="false">(2161150+1081876+925576)/1000000</f>
        <v>4.168602</v>
      </c>
      <c r="M117" s="532" t="n">
        <f aca="false">L117-(1.963386+1.04636+0.815617)+3.849352+0.013661+0.686909+2.050207</f>
        <v>6.943368</v>
      </c>
      <c r="N117" s="553" t="e">
        <f aca="false">#REF!/M117</f>
        <v>#REF!</v>
      </c>
      <c r="O117" s="554" t="n">
        <f aca="false">4.251787+39.121536</f>
        <v>43.373323</v>
      </c>
      <c r="P117" s="553" t="e">
        <f aca="false">#REF!/O117</f>
        <v>#REF!</v>
      </c>
      <c r="Q117" s="555" t="e">
        <f aca="false">I117/#REF!</f>
        <v>#REF!</v>
      </c>
      <c r="R117" s="555" t="e">
        <f aca="false">J117/#REF!</f>
        <v>#REF!</v>
      </c>
      <c r="S117" s="555" t="e">
        <f aca="false">K117/#REF!</f>
        <v>#REF!</v>
      </c>
      <c r="T117" s="554" t="n">
        <f aca="false">X117*D117*3.5</f>
        <v>0</v>
      </c>
      <c r="U117" s="554" t="n">
        <f aca="false">D117*Z117*3.5</f>
        <v>0</v>
      </c>
      <c r="V117" s="553"/>
      <c r="W117" s="553"/>
      <c r="X117" s="558"/>
      <c r="Y117" s="555"/>
      <c r="Z117" s="558"/>
      <c r="AA117" s="557"/>
    </row>
    <row r="118" customFormat="false" ht="12.75" hidden="false" customHeight="false" outlineLevel="0" collapsed="false">
      <c r="A118" s="551" t="s">
        <v>668</v>
      </c>
      <c r="B118" s="367" t="n">
        <f aca="false">37+11/16</f>
        <v>37.6875</v>
      </c>
      <c r="C118" s="367"/>
      <c r="D118" s="559" t="n">
        <v>5.9965</v>
      </c>
      <c r="E118" s="532" t="n">
        <f aca="false">B118*D118</f>
        <v>225.99309375</v>
      </c>
      <c r="F118" s="532" t="n">
        <v>96.374</v>
      </c>
      <c r="G118" s="552" t="n">
        <v>6.364</v>
      </c>
      <c r="H118" s="532" t="n">
        <v>3.2</v>
      </c>
      <c r="I118" s="532" t="n">
        <f aca="false">17.131+4.683+11.997</f>
        <v>33.811</v>
      </c>
      <c r="J118" s="532" t="n">
        <f aca="false">16.06+4.608+12.874</f>
        <v>33.542</v>
      </c>
      <c r="K118" s="532" t="n">
        <f aca="false">15.062+3.628+14.485</f>
        <v>33.175</v>
      </c>
      <c r="L118" s="532" t="n">
        <f aca="false">13.227+5.657+4.373</f>
        <v>23.257</v>
      </c>
      <c r="M118" s="532" t="n">
        <f aca="false">L118-(11.727+5.052+3.79)+15.062+14.485+3.628</f>
        <v>35.863</v>
      </c>
      <c r="N118" s="553" t="e">
        <f aca="false">#REF!/M118</f>
        <v>#REF!</v>
      </c>
      <c r="O118" s="554" t="n">
        <f aca="false">212.319+2.517</f>
        <v>214.836</v>
      </c>
      <c r="P118" s="553" t="e">
        <f aca="false">#REF!/O118</f>
        <v>#REF!</v>
      </c>
      <c r="Q118" s="555" t="e">
        <f aca="false">I118/#REF!</f>
        <v>#REF!</v>
      </c>
      <c r="R118" s="555" t="e">
        <f aca="false">J118/#REF!</f>
        <v>#REF!</v>
      </c>
      <c r="S118" s="555" t="e">
        <f aca="false">K118/#REF!</f>
        <v>#REF!</v>
      </c>
      <c r="T118" s="554" t="n">
        <f aca="false">X118*D118*4.2</f>
        <v>31.481625</v>
      </c>
      <c r="U118" s="554" t="n">
        <f aca="false">D118*Z118*4.2</f>
        <v>35.25942</v>
      </c>
      <c r="V118" s="553" t="e">
        <f aca="false">#REF!/T118</f>
        <v>#REF!</v>
      </c>
      <c r="W118" s="553" t="e">
        <f aca="false">#REF!/U118</f>
        <v>#REF!</v>
      </c>
      <c r="X118" s="556" t="n">
        <v>1.25</v>
      </c>
      <c r="Y118" s="555" t="n">
        <f aca="false">B118/X118</f>
        <v>30.15</v>
      </c>
      <c r="Z118" s="556" t="n">
        <v>1.4</v>
      </c>
      <c r="AA118" s="557" t="n">
        <f aca="false">B118/Z118</f>
        <v>26.9196428571429</v>
      </c>
    </row>
    <row r="119" customFormat="false" ht="12.75" hidden="false" customHeight="false" outlineLevel="0" collapsed="false">
      <c r="A119" s="551" t="s">
        <v>669</v>
      </c>
      <c r="B119" s="367" t="n">
        <f aca="false">20+3/4</f>
        <v>20.75</v>
      </c>
      <c r="C119" s="367"/>
      <c r="D119" s="532" t="n">
        <f aca="false">2.690937/1.49</f>
        <v>1.80599798657718</v>
      </c>
      <c r="E119" s="532" t="n">
        <f aca="false">B119*D119</f>
        <v>37.4744582214765</v>
      </c>
      <c r="F119" s="552" t="n">
        <f aca="false">20.840843+0.022883</f>
        <v>20.863726</v>
      </c>
      <c r="G119" s="552" t="n">
        <v>0.54662</v>
      </c>
      <c r="H119" s="532" t="n">
        <v>0</v>
      </c>
      <c r="I119" s="532" t="n">
        <f aca="false">4.113044+0.963895+2.294447</f>
        <v>7.371386</v>
      </c>
      <c r="J119" s="532" t="n">
        <f aca="false">4.550333+0.857964+2.533912</f>
        <v>7.942209</v>
      </c>
      <c r="K119" s="532" t="n">
        <f aca="false">4.82259+1.100506+2.806278</f>
        <v>8.729374</v>
      </c>
      <c r="L119" s="532" t="n">
        <f aca="false">(3224052+3293+767390+1071466)/1000000</f>
        <v>5.066201</v>
      </c>
      <c r="M119" s="532" t="n">
        <f aca="false">L119-(2.679221+0.006031+0.713802+0.846912)+4.82259+0.042443+1.100506+2.806278</f>
        <v>9.592052</v>
      </c>
      <c r="N119" s="553" t="e">
        <f aca="false">#REF!/M119</f>
        <v>#REF!</v>
      </c>
      <c r="O119" s="554" t="n">
        <f aca="false">48.091975+8.932001</f>
        <v>57.023976</v>
      </c>
      <c r="P119" s="553" t="e">
        <f aca="false">#REF!/O119</f>
        <v>#REF!</v>
      </c>
      <c r="Q119" s="555" t="e">
        <f aca="false">I119/#REF!</f>
        <v>#REF!</v>
      </c>
      <c r="R119" s="555" t="e">
        <f aca="false">J119/#REF!</f>
        <v>#REF!</v>
      </c>
      <c r="S119" s="555" t="e">
        <f aca="false">K119/#REF!</f>
        <v>#REF!</v>
      </c>
      <c r="T119" s="554" t="n">
        <f aca="false">X119*D119*3.3</f>
        <v>8.04572103020134</v>
      </c>
      <c r="U119" s="554" t="n">
        <f aca="false">D119*Z119*3.3</f>
        <v>8.04572103020134</v>
      </c>
      <c r="V119" s="553" t="e">
        <f aca="false">#REF!/T119</f>
        <v>#REF!</v>
      </c>
      <c r="W119" s="553" t="e">
        <f aca="false">#REF!/U119</f>
        <v>#REF!</v>
      </c>
      <c r="X119" s="556" t="n">
        <v>1.35</v>
      </c>
      <c r="Y119" s="555" t="n">
        <f aca="false">B119/X119</f>
        <v>15.3703703703704</v>
      </c>
      <c r="Z119" s="556" t="n">
        <v>1.35</v>
      </c>
      <c r="AA119" s="557" t="n">
        <f aca="false">B119/Z119</f>
        <v>15.3703703703704</v>
      </c>
    </row>
    <row r="120" customFormat="false" ht="13.5" hidden="false" customHeight="false" outlineLevel="0" collapsed="false">
      <c r="A120" s="560" t="s">
        <v>670</v>
      </c>
      <c r="B120" s="561" t="n">
        <f aca="false">22+13/16</f>
        <v>22.8125</v>
      </c>
      <c r="C120" s="561"/>
      <c r="D120" s="562" t="n">
        <v>4.97689</v>
      </c>
      <c r="E120" s="563" t="n">
        <f aca="false">B120*D120</f>
        <v>113.535303125</v>
      </c>
      <c r="F120" s="563" t="n">
        <f aca="false">29.553+2.289</f>
        <v>31.842</v>
      </c>
      <c r="G120" s="564" t="n">
        <v>0.554</v>
      </c>
      <c r="H120" s="563" t="n">
        <v>0</v>
      </c>
      <c r="I120" s="563" t="n">
        <f aca="false">7.310083+1.443547+2.956727</f>
        <v>11.710357</v>
      </c>
      <c r="J120" s="563" t="n">
        <f aca="false">7.027587+1.334677+3.143719</f>
        <v>11.505983</v>
      </c>
      <c r="K120" s="563" t="n">
        <f aca="false">6.646724+1.330045+3.274513</f>
        <v>11.251282</v>
      </c>
      <c r="L120" s="563" t="n">
        <f aca="false">4.059+1.775+0.852</f>
        <v>6.686</v>
      </c>
      <c r="M120" s="563" t="n">
        <f aca="false">L120-(3.991+1.593+0.825)+6.646724+1.330045+3.274513</f>
        <v>11.528282</v>
      </c>
      <c r="N120" s="565" t="e">
        <f aca="false">#REF!/M120</f>
        <v>#REF!</v>
      </c>
      <c r="O120" s="566" t="n">
        <f aca="false">51.755+1.926+4.147</f>
        <v>57.828</v>
      </c>
      <c r="P120" s="565" t="e">
        <f aca="false">#REF!/O120</f>
        <v>#REF!</v>
      </c>
      <c r="Q120" s="567" t="e">
        <f aca="false">I120/#REF!</f>
        <v>#REF!</v>
      </c>
      <c r="R120" s="567" t="e">
        <f aca="false">J120/#REF!</f>
        <v>#REF!</v>
      </c>
      <c r="S120" s="567" t="e">
        <f aca="false">K120/#REF!</f>
        <v>#REF!</v>
      </c>
      <c r="T120" s="566" t="n">
        <f aca="false">X120*D120*3.1</f>
        <v>11.57126925</v>
      </c>
      <c r="U120" s="566" t="n">
        <f aca="false">D120*Z120*3.1</f>
        <v>14.19409028</v>
      </c>
      <c r="V120" s="565" t="e">
        <f aca="false">#REF!/T120</f>
        <v>#REF!</v>
      </c>
      <c r="W120" s="565" t="e">
        <f aca="false">#REF!/U120</f>
        <v>#REF!</v>
      </c>
      <c r="X120" s="567" t="n">
        <v>0.75</v>
      </c>
      <c r="Y120" s="567" t="n">
        <f aca="false">B120/X120</f>
        <v>30.4166666666667</v>
      </c>
      <c r="Z120" s="567" t="n">
        <v>0.92</v>
      </c>
      <c r="AA120" s="568" t="n">
        <f aca="false">B120/Z120</f>
        <v>24.7961956521739</v>
      </c>
    </row>
    <row r="121" customFormat="false" ht="12.75" hidden="false" customHeight="false" outlineLevel="0" collapsed="false">
      <c r="A121" s="529"/>
      <c r="B121" s="367"/>
      <c r="C121" s="367"/>
      <c r="D121" s="569"/>
      <c r="E121" s="529"/>
      <c r="F121" s="529"/>
      <c r="G121" s="570"/>
      <c r="H121" s="529"/>
      <c r="I121" s="532"/>
      <c r="J121" s="529"/>
      <c r="K121" s="529"/>
      <c r="L121" s="529"/>
      <c r="M121" s="529"/>
      <c r="N121" s="536"/>
      <c r="O121" s="537"/>
      <c r="P121" s="536"/>
      <c r="Q121" s="538"/>
      <c r="R121" s="538"/>
      <c r="S121" s="538"/>
      <c r="T121" s="537"/>
      <c r="U121" s="537"/>
      <c r="V121" s="536"/>
      <c r="W121" s="536"/>
      <c r="X121" s="538"/>
      <c r="Y121" s="538"/>
      <c r="Z121" s="538"/>
      <c r="AA121" s="538"/>
    </row>
  </sheetData>
  <mergeCells count="4">
    <mergeCell ref="M3:O3"/>
    <mergeCell ref="E4:G4"/>
    <mergeCell ref="I4:K4"/>
    <mergeCell ref="M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&amp;L&amp;F&amp;C&amp;P&amp;R&amp;D&amp;T</oddFooter>
  </headerFooter>
  <rowBreaks count="1" manualBreakCount="1">
    <brk id="34" man="true" max="16383" min="0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4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100" zoomScalePageLayoutView="75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19.99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10.41"/>
    <col collapsed="false" customWidth="true" hidden="false" outlineLevel="0" max="6" min="6" style="0" width="5.13"/>
    <col collapsed="false" customWidth="true" hidden="false" outlineLevel="0" max="7" min="7" style="0" width="5.71"/>
    <col collapsed="false" customWidth="true" hidden="false" outlineLevel="0" max="8" min="8" style="0" width="5.13"/>
    <col collapsed="false" customWidth="true" hidden="false" outlineLevel="0" max="9" min="9" style="0" width="7.85"/>
    <col collapsed="false" customWidth="true" hidden="false" outlineLevel="0" max="10" min="10" style="0" width="4.99"/>
    <col collapsed="false" customWidth="true" hidden="false" outlineLevel="0" max="11" min="11" style="0" width="4.85"/>
    <col collapsed="false" customWidth="true" hidden="false" outlineLevel="0" max="12" min="12" style="0" width="6.41"/>
    <col collapsed="false" customWidth="true" hidden="false" outlineLevel="0" max="13" min="13" style="0" width="4.99"/>
    <col collapsed="false" customWidth="true" hidden="false" outlineLevel="0" max="14" min="14" style="0" width="6.13"/>
    <col collapsed="false" customWidth="true" hidden="false" outlineLevel="0" max="15" min="15" style="0" width="6.28"/>
    <col collapsed="false" customWidth="true" hidden="false" outlineLevel="0" max="16" min="16" style="0" width="5.28"/>
    <col collapsed="false" customWidth="true" hidden="false" outlineLevel="0" max="17" min="17" style="0" width="8.7"/>
  </cols>
  <sheetData>
    <row r="2" customFormat="false" ht="18" hidden="false" customHeight="false" outlineLevel="0" collapsed="false">
      <c r="A2" s="460"/>
      <c r="C2" s="363"/>
    </row>
    <row r="3" customFormat="false" ht="18" hidden="false" customHeight="false" outlineLevel="0" collapsed="false">
      <c r="A3" s="460"/>
      <c r="C3" s="363"/>
    </row>
    <row r="4" customFormat="false" ht="12.75" hidden="false" customHeight="false" outlineLevel="0" collapsed="false">
      <c r="A4" s="28"/>
      <c r="B4" s="28"/>
      <c r="C4" s="28"/>
      <c r="D4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7" man="true" max="16383" min="0"/>
    <brk id="106" man="true" max="16383" min="0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25.41"/>
    <col collapsed="false" customWidth="false" hidden="false" outlineLevel="0" max="3" min="2" style="27" width="9.14"/>
    <col collapsed="false" customWidth="true" hidden="false" outlineLevel="0" max="4" min="4" style="27" width="10.41"/>
    <col collapsed="false" customWidth="false" hidden="false" outlineLevel="0" max="5" min="5" style="27" width="9.14"/>
    <col collapsed="false" customWidth="true" hidden="false" outlineLevel="0" max="6" min="6" style="27" width="31.56"/>
    <col collapsed="false" customWidth="true" hidden="false" outlineLevel="0" max="7" min="7" style="27" width="7.7"/>
    <col collapsed="false" customWidth="true" hidden="false" outlineLevel="0" max="8" min="8" style="27" width="11.99"/>
    <col collapsed="false" customWidth="true" hidden="false" outlineLevel="0" max="9" min="9" style="27" width="20.7"/>
    <col collapsed="false" customWidth="true" hidden="false" outlineLevel="0" max="10" min="10" style="27" width="9.7"/>
    <col collapsed="false" customWidth="true" hidden="false" outlineLevel="0" max="11" min="11" style="27" width="6.41"/>
    <col collapsed="false" customWidth="true" hidden="false" outlineLevel="0" max="12" min="12" style="27" width="7.7"/>
    <col collapsed="false" customWidth="true" hidden="false" outlineLevel="0" max="14" min="13" style="27" width="6.41"/>
    <col collapsed="false" customWidth="true" hidden="false" outlineLevel="0" max="15" min="15" style="27" width="6.28"/>
    <col collapsed="false" customWidth="false" hidden="false" outlineLevel="0" max="257" min="16" style="27" width="9.14"/>
  </cols>
  <sheetData>
    <row r="1" customFormat="false" ht="15.75" hidden="false" customHeight="false" outlineLevel="0" collapsed="false">
      <c r="A1" s="27" t="s">
        <v>671</v>
      </c>
      <c r="F1" s="571"/>
      <c r="G1" s="572"/>
      <c r="H1" s="572"/>
      <c r="I1" s="573"/>
      <c r="J1" s="527"/>
    </row>
    <row r="2" customFormat="false" ht="15.75" hidden="false" customHeight="false" outlineLevel="0" collapsed="false">
      <c r="F2" s="571"/>
      <c r="G2" s="572"/>
      <c r="H2" s="572"/>
      <c r="I2" s="573"/>
      <c r="J2" s="527"/>
    </row>
    <row r="3" customFormat="false" ht="12.75" hidden="false" customHeight="false" outlineLevel="0" collapsed="false">
      <c r="A3" s="574" t="s">
        <v>388</v>
      </c>
      <c r="B3" s="575"/>
      <c r="C3" s="575"/>
      <c r="D3" s="576"/>
      <c r="E3" s="577"/>
      <c r="F3" s="572" t="s">
        <v>672</v>
      </c>
      <c r="G3" s="572"/>
      <c r="H3" s="572"/>
      <c r="I3" s="573"/>
      <c r="J3" s="527"/>
    </row>
    <row r="4" customFormat="false" ht="12.75" hidden="false" customHeight="false" outlineLevel="0" collapsed="false">
      <c r="A4" s="578"/>
      <c r="B4" s="579"/>
      <c r="C4" s="579"/>
      <c r="D4" s="579"/>
      <c r="E4" s="579"/>
      <c r="F4" s="572" t="s">
        <v>673</v>
      </c>
      <c r="G4" s="572"/>
      <c r="H4" s="572"/>
      <c r="I4" s="573"/>
      <c r="J4" s="527"/>
    </row>
    <row r="5" customFormat="false" ht="12.75" hidden="false" customHeight="false" outlineLevel="0" collapsed="false">
      <c r="A5" s="580" t="s">
        <v>674</v>
      </c>
      <c r="B5" s="580"/>
      <c r="C5" s="580"/>
      <c r="D5" s="35" t="n">
        <f aca="false">'Corp I-S&amp;B-S'!I41</f>
        <v>159.246</v>
      </c>
      <c r="E5" s="580"/>
      <c r="F5" s="572"/>
      <c r="G5" s="572"/>
      <c r="H5" s="572"/>
      <c r="I5" s="573"/>
      <c r="J5" s="527"/>
    </row>
    <row r="6" customFormat="false" ht="12.75" hidden="false" customHeight="false" outlineLevel="0" collapsed="false">
      <c r="A6" s="580" t="s">
        <v>675</v>
      </c>
      <c r="B6" s="581" t="n">
        <v>36545</v>
      </c>
      <c r="C6" s="527"/>
      <c r="D6" s="582" t="n">
        <f aca="false">+'Corp I-S&amp;B-S'!D54</f>
        <v>21.4375</v>
      </c>
      <c r="E6" s="580"/>
      <c r="F6" s="583" t="s">
        <v>676</v>
      </c>
      <c r="G6" s="584"/>
      <c r="H6" s="585" t="n">
        <v>1999</v>
      </c>
      <c r="I6" s="586" t="n">
        <v>2000</v>
      </c>
      <c r="J6" s="586" t="n">
        <v>2001</v>
      </c>
    </row>
    <row r="7" customFormat="false" ht="12.75" hidden="false" customHeight="false" outlineLevel="0" collapsed="false">
      <c r="A7" s="580" t="s">
        <v>677</v>
      </c>
      <c r="B7" s="581" t="n">
        <v>36545</v>
      </c>
      <c r="C7" s="527"/>
      <c r="D7" s="582" t="n">
        <f aca="false">+'Corp I-S&amp;B-S'!D55</f>
        <v>68.4375</v>
      </c>
      <c r="E7" s="580"/>
      <c r="F7" s="527"/>
      <c r="G7" s="527"/>
      <c r="H7" s="527"/>
      <c r="I7" s="527"/>
      <c r="J7" s="527"/>
    </row>
    <row r="8" customFormat="false" ht="12.75" hidden="false" customHeight="false" outlineLevel="0" collapsed="false">
      <c r="A8" s="572"/>
      <c r="B8" s="572"/>
      <c r="C8" s="572"/>
      <c r="D8" s="572"/>
      <c r="E8" s="587"/>
      <c r="F8" s="572" t="s">
        <v>678</v>
      </c>
      <c r="G8" s="572"/>
      <c r="H8" s="588" t="n">
        <v>955</v>
      </c>
      <c r="I8" s="588" t="n">
        <v>1110.898</v>
      </c>
      <c r="J8" s="588" t="n">
        <v>1342.366</v>
      </c>
    </row>
    <row r="9" customFormat="false" ht="12.75" hidden="false" customHeight="false" outlineLevel="0" collapsed="false">
      <c r="A9" s="572" t="s">
        <v>679</v>
      </c>
      <c r="B9" s="572"/>
      <c r="C9" s="572"/>
      <c r="D9" s="35" t="n">
        <f aca="false">D6*D5</f>
        <v>3413.836125</v>
      </c>
      <c r="E9" s="589"/>
      <c r="F9" s="590" t="s">
        <v>680</v>
      </c>
      <c r="G9" s="572"/>
      <c r="H9" s="35" t="n">
        <f aca="false">'Corp I-S&amp;B-S'!I25</f>
        <v>403.641</v>
      </c>
      <c r="I9" s="35" t="n">
        <f aca="false">'Corp I-S&amp;B-S'!J25</f>
        <v>414.37212</v>
      </c>
      <c r="J9" s="35" t="n">
        <f aca="false">'Corp I-S&amp;B-S'!K25</f>
        <v>427.218840000001</v>
      </c>
    </row>
    <row r="10" customFormat="false" ht="12.75" hidden="false" customHeight="false" outlineLevel="0" collapsed="false">
      <c r="A10" s="572" t="s">
        <v>681</v>
      </c>
      <c r="B10" s="591" t="n">
        <f aca="false">(1+D10)*D6</f>
        <v>27.86875</v>
      </c>
      <c r="C10" s="572"/>
      <c r="D10" s="592" t="n">
        <v>0.3</v>
      </c>
      <c r="E10" s="527"/>
      <c r="F10" s="590" t="s">
        <v>682</v>
      </c>
      <c r="G10" s="572"/>
      <c r="H10" s="593" t="n">
        <f aca="false">-$D$32</f>
        <v>-44.9904990625</v>
      </c>
      <c r="I10" s="593" t="n">
        <f aca="false">-$D$32</f>
        <v>-44.9904990625</v>
      </c>
      <c r="J10" s="593" t="n">
        <f aca="false">-$D$32</f>
        <v>-44.9904990625</v>
      </c>
    </row>
    <row r="11" customFormat="false" ht="12.75" hidden="false" customHeight="false" outlineLevel="0" collapsed="false">
      <c r="A11" s="572" t="s">
        <v>683</v>
      </c>
      <c r="B11" s="572"/>
      <c r="C11" s="572"/>
      <c r="D11" s="594" t="n">
        <f aca="false">D5*B10</f>
        <v>4437.9869625</v>
      </c>
      <c r="E11" s="587"/>
      <c r="F11" s="27" t="s">
        <v>684</v>
      </c>
      <c r="G11" s="595" t="n">
        <v>0.07</v>
      </c>
      <c r="I11" s="596" t="n">
        <f aca="false">-$G$11*$D$24</f>
        <v>62.0951105853391</v>
      </c>
      <c r="J11" s="596" t="n">
        <f aca="false">-$G$11*$D$24</f>
        <v>62.0951105853391</v>
      </c>
    </row>
    <row r="12" customFormat="false" ht="12.75" hidden="false" customHeight="false" outlineLevel="0" collapsed="false">
      <c r="A12" s="572" t="s">
        <v>510</v>
      </c>
      <c r="B12" s="572"/>
      <c r="C12" s="572"/>
      <c r="D12" s="593" t="n">
        <f aca="false">'Corp I-S&amp;B-S'!C71</f>
        <v>3549.599</v>
      </c>
      <c r="E12" s="587"/>
      <c r="F12" s="572" t="s">
        <v>685</v>
      </c>
      <c r="G12" s="597"/>
      <c r="H12" s="593" t="n">
        <f aca="false">SUM(H9:H10)</f>
        <v>358.6505009375</v>
      </c>
      <c r="I12" s="593" t="n">
        <f aca="false">SUM(I9:I11)</f>
        <v>431.476731522839</v>
      </c>
      <c r="J12" s="593" t="n">
        <f aca="false">SUM(J9:J11)</f>
        <v>444.32345152284</v>
      </c>
    </row>
    <row r="13" customFormat="false" ht="13.5" hidden="false" customHeight="false" outlineLevel="0" collapsed="false">
      <c r="A13" s="572" t="s">
        <v>156</v>
      </c>
      <c r="B13" s="572"/>
      <c r="C13" s="572"/>
      <c r="D13" s="594" t="n">
        <f aca="false">D11+D12</f>
        <v>7987.5859625</v>
      </c>
      <c r="E13" s="587"/>
      <c r="F13" s="572" t="s">
        <v>686</v>
      </c>
      <c r="G13" s="572"/>
      <c r="H13" s="598" t="n">
        <f aca="false">H8+H12</f>
        <v>1313.6505009375</v>
      </c>
      <c r="I13" s="598" t="n">
        <f aca="false">I8+I12</f>
        <v>1542.37473152284</v>
      </c>
      <c r="J13" s="598" t="n">
        <f aca="false">J8+J12</f>
        <v>1786.68945152284</v>
      </c>
    </row>
    <row r="14" customFormat="false" ht="13.5" hidden="false" customHeight="false" outlineLevel="0" collapsed="false">
      <c r="A14" s="572"/>
      <c r="B14" s="572"/>
      <c r="C14" s="572"/>
      <c r="D14" s="597"/>
      <c r="E14" s="587"/>
    </row>
    <row r="15" customFormat="false" ht="12.75" hidden="false" customHeight="false" outlineLevel="0" collapsed="false">
      <c r="A15" s="572" t="s">
        <v>687</v>
      </c>
      <c r="D15" s="45" t="n">
        <v>0.5</v>
      </c>
      <c r="E15" s="587"/>
      <c r="F15" s="572" t="s">
        <v>688</v>
      </c>
      <c r="G15" s="572"/>
      <c r="H15" s="43" t="n">
        <v>769.5</v>
      </c>
      <c r="I15" s="43" t="n">
        <v>805.9</v>
      </c>
      <c r="J15" s="43" t="n">
        <v>844.2</v>
      </c>
    </row>
    <row r="16" customFormat="false" ht="12.75" hidden="false" customHeight="false" outlineLevel="0" collapsed="false">
      <c r="E16" s="572"/>
      <c r="F16" s="572" t="s">
        <v>689</v>
      </c>
      <c r="G16" s="572"/>
      <c r="H16" s="599" t="n">
        <f aca="false">$D$21</f>
        <v>77.8090954646501</v>
      </c>
      <c r="I16" s="599" t="n">
        <f aca="false">$D$21</f>
        <v>77.8090954646501</v>
      </c>
      <c r="J16" s="599" t="n">
        <f aca="false">$D$21</f>
        <v>77.8090954646501</v>
      </c>
    </row>
    <row r="17" customFormat="false" ht="12.75" hidden="false" customHeight="false" outlineLevel="0" collapsed="false">
      <c r="A17" s="572" t="s">
        <v>690</v>
      </c>
      <c r="B17" s="572" t="s">
        <v>528</v>
      </c>
      <c r="C17" s="600" t="n">
        <v>0.333333</v>
      </c>
      <c r="D17" s="35" t="n">
        <f aca="false">+C17*D13</f>
        <v>2662.52599163801</v>
      </c>
      <c r="E17" s="572"/>
      <c r="F17" s="572" t="s">
        <v>691</v>
      </c>
      <c r="G17" s="572"/>
      <c r="H17" s="597" t="n">
        <f aca="false">H15+H16</f>
        <v>847.30909546465</v>
      </c>
      <c r="I17" s="597" t="n">
        <f aca="false">I15+I16</f>
        <v>883.70909546465</v>
      </c>
      <c r="J17" s="597" t="n">
        <f aca="false">J15+J16</f>
        <v>922.00909546465</v>
      </c>
    </row>
    <row r="18" customFormat="false" ht="12.75" hidden="false" customHeight="false" outlineLevel="0" collapsed="false">
      <c r="A18" s="572"/>
      <c r="B18" s="572" t="s">
        <v>692</v>
      </c>
      <c r="C18" s="595" t="n">
        <f aca="false">1-C17</f>
        <v>0.666667</v>
      </c>
      <c r="D18" s="593" t="n">
        <f aca="false">+D13-D17</f>
        <v>5325.05997086199</v>
      </c>
      <c r="E18" s="572"/>
      <c r="F18" s="601" t="s">
        <v>693</v>
      </c>
      <c r="G18" s="572"/>
      <c r="H18" s="602"/>
      <c r="I18" s="573"/>
      <c r="J18" s="527"/>
    </row>
    <row r="19" customFormat="false" ht="12.75" hidden="false" customHeight="false" outlineLevel="0" collapsed="false">
      <c r="A19" s="572"/>
      <c r="B19" s="572"/>
      <c r="C19" s="572"/>
      <c r="D19" s="594" t="n">
        <f aca="false">SUM(D17:D18)</f>
        <v>7987.5859625</v>
      </c>
      <c r="E19" s="572"/>
      <c r="F19" s="572" t="s">
        <v>694</v>
      </c>
      <c r="G19" s="572"/>
      <c r="H19" s="603" t="n">
        <v>1.17</v>
      </c>
      <c r="I19" s="603" t="n">
        <f aca="false">+I8/I15</f>
        <v>1.37845638416677</v>
      </c>
      <c r="J19" s="603" t="n">
        <f aca="false">+J8/J15</f>
        <v>1.59010424070126</v>
      </c>
      <c r="L19" s="604" t="n">
        <f aca="false">+I8/I15</f>
        <v>1.37845638416677</v>
      </c>
    </row>
    <row r="20" customFormat="false" ht="12.75" hidden="false" customHeight="false" outlineLevel="0" collapsed="false">
      <c r="A20" s="572"/>
      <c r="B20" s="572"/>
      <c r="C20" s="572"/>
      <c r="D20" s="594"/>
      <c r="E20" s="589"/>
      <c r="F20" s="572" t="s">
        <v>695</v>
      </c>
      <c r="G20" s="572"/>
      <c r="H20" s="605" t="n">
        <f aca="false">H13/H17</f>
        <v>1.55037932198416</v>
      </c>
      <c r="I20" s="605" t="n">
        <f aca="false">I13/I17</f>
        <v>1.74534214872131</v>
      </c>
      <c r="J20" s="605" t="n">
        <f aca="false">J13/J17</f>
        <v>1.93782193723635</v>
      </c>
    </row>
    <row r="21" customFormat="false" ht="12.75" hidden="false" customHeight="false" outlineLevel="0" collapsed="false">
      <c r="A21" s="572" t="s">
        <v>696</v>
      </c>
      <c r="B21" s="572"/>
      <c r="C21" s="572"/>
      <c r="D21" s="35" t="n">
        <f aca="false">D18/D7</f>
        <v>77.8090954646501</v>
      </c>
      <c r="E21" s="587"/>
      <c r="F21" s="509" t="s">
        <v>697</v>
      </c>
      <c r="G21" s="509"/>
      <c r="H21" s="606" t="n">
        <f aca="false">H20-H19</f>
        <v>0.380379321984165</v>
      </c>
      <c r="I21" s="606" t="n">
        <f aca="false">I20-I19</f>
        <v>0.366885764554542</v>
      </c>
      <c r="J21" s="606" t="n">
        <f aca="false">J20-J19</f>
        <v>0.347717696535091</v>
      </c>
    </row>
    <row r="22" customFormat="false" ht="12.75" hidden="false" customHeight="false" outlineLevel="0" collapsed="false">
      <c r="A22" s="572" t="s">
        <v>698</v>
      </c>
      <c r="B22" s="572"/>
      <c r="C22" s="572"/>
      <c r="D22" s="43" t="n">
        <v>805.9</v>
      </c>
      <c r="E22" s="589"/>
      <c r="F22" s="607"/>
      <c r="G22" s="527"/>
      <c r="H22" s="587" t="n">
        <f aca="false">H21/H19</f>
        <v>0.325110531610397</v>
      </c>
      <c r="I22" s="587" t="n">
        <f aca="false">I21/I19</f>
        <v>0.266156962794519</v>
      </c>
      <c r="J22" s="587" t="n">
        <f aca="false">J21/J19</f>
        <v>0.218676038736771</v>
      </c>
    </row>
    <row r="23" customFormat="false" ht="12.75" hidden="false" customHeight="false" outlineLevel="0" collapsed="false">
      <c r="A23" s="572" t="s">
        <v>699</v>
      </c>
      <c r="B23" s="572"/>
      <c r="C23" s="572"/>
      <c r="D23" s="608" t="n">
        <f aca="false">D21/D22</f>
        <v>0.0965493181097532</v>
      </c>
      <c r="E23" s="587"/>
      <c r="F23" s="527"/>
      <c r="G23" s="527"/>
      <c r="H23" s="609"/>
      <c r="I23" s="609"/>
      <c r="J23" s="527"/>
      <c r="K23" s="527"/>
    </row>
    <row r="24" customFormat="false" ht="12.75" hidden="false" customHeight="false" outlineLevel="0" collapsed="false">
      <c r="A24" s="572" t="s">
        <v>700</v>
      </c>
      <c r="B24" s="572"/>
      <c r="C24" s="572"/>
      <c r="D24" s="35" t="n">
        <f aca="false">-D12+D17</f>
        <v>-887.073008361987</v>
      </c>
      <c r="E24" s="587"/>
      <c r="F24" s="527"/>
      <c r="G24" s="527"/>
      <c r="H24" s="609"/>
      <c r="I24" s="609"/>
      <c r="J24" s="527"/>
      <c r="K24" s="527"/>
    </row>
    <row r="25" customFormat="false" ht="12.75" hidden="false" customHeight="false" outlineLevel="0" collapsed="false">
      <c r="A25" s="572"/>
      <c r="B25" s="572"/>
      <c r="C25" s="572"/>
      <c r="D25" s="572"/>
      <c r="E25" s="587"/>
      <c r="F25" s="527"/>
      <c r="I25" s="28" t="s">
        <v>701</v>
      </c>
    </row>
    <row r="26" customFormat="false" ht="12.75" hidden="false" customHeight="false" outlineLevel="0" collapsed="false">
      <c r="A26" s="574" t="s">
        <v>702</v>
      </c>
      <c r="B26" s="575"/>
      <c r="C26" s="575"/>
      <c r="D26" s="575"/>
      <c r="E26" s="589"/>
      <c r="F26" s="492"/>
      <c r="J26" s="610" t="n">
        <f aca="false">H41</f>
        <v>0</v>
      </c>
      <c r="K26" s="610" t="n">
        <f aca="false">I41</f>
        <v>0.2</v>
      </c>
      <c r="L26" s="610" t="n">
        <f aca="false">J41</f>
        <v>0.25</v>
      </c>
      <c r="M26" s="610" t="n">
        <f aca="false">K41</f>
        <v>0.3</v>
      </c>
      <c r="N26" s="610" t="n">
        <f aca="false">L41</f>
        <v>0.35</v>
      </c>
      <c r="O26" s="610" t="n">
        <f aca="false">M41</f>
        <v>0.4</v>
      </c>
      <c r="P26" s="610" t="n">
        <f aca="false">N41</f>
        <v>0.45</v>
      </c>
    </row>
    <row r="27" customFormat="false" ht="12.75" hidden="false" customHeight="false" outlineLevel="0" collapsed="false">
      <c r="A27" s="578"/>
      <c r="B27" s="575"/>
      <c r="C27" s="575"/>
      <c r="D27" s="575"/>
      <c r="E27" s="572"/>
      <c r="F27" s="527"/>
      <c r="I27" s="28" t="n">
        <v>2000</v>
      </c>
      <c r="J27" s="611" t="n">
        <f aca="false">+H42</f>
        <v>0.44346872457592</v>
      </c>
      <c r="K27" s="611" t="n">
        <f aca="false">+I42</f>
        <v>0.392220564876362</v>
      </c>
      <c r="L27" s="611" t="n">
        <f aca="false">+J42</f>
        <v>0.379529285306026</v>
      </c>
      <c r="M27" s="611" t="n">
        <f aca="false">+K42</f>
        <v>0.366885764554542</v>
      </c>
      <c r="N27" s="611" t="n">
        <f aca="false">+L42</f>
        <v>0.354289733544882</v>
      </c>
      <c r="O27" s="611" t="n">
        <f aca="false">+M42</f>
        <v>0.341740925217566</v>
      </c>
      <c r="P27" s="611" t="n">
        <f aca="false">+N42</f>
        <v>0.329239074511788</v>
      </c>
    </row>
    <row r="28" customFormat="false" ht="12.75" hidden="false" customHeight="false" outlineLevel="0" collapsed="false">
      <c r="A28" s="572" t="s">
        <v>703</v>
      </c>
      <c r="B28" s="572"/>
      <c r="C28" s="572"/>
      <c r="D28" s="35" t="n">
        <f aca="false">D11</f>
        <v>4437.9869625</v>
      </c>
      <c r="E28" s="572"/>
      <c r="G28" s="527"/>
      <c r="H28" s="612"/>
      <c r="I28" s="613" t="n">
        <v>2001</v>
      </c>
      <c r="J28" s="611" t="n">
        <f aca="false">+H44</f>
        <v>0.423190114681619</v>
      </c>
      <c r="K28" s="611" t="n">
        <f aca="false">+I44</f>
        <v>0.372693036293906</v>
      </c>
      <c r="L28" s="611" t="n">
        <f aca="false">+J44</f>
        <v>0.36018280545251</v>
      </c>
      <c r="M28" s="611" t="n">
        <f aca="false">+K44</f>
        <v>0.347717696535091</v>
      </c>
      <c r="N28" s="611" t="n">
        <f aca="false">+L44</f>
        <v>0.335297465862341</v>
      </c>
      <c r="O28" s="611" t="n">
        <f aca="false">+M44</f>
        <v>0.32292187150644</v>
      </c>
      <c r="P28" s="611" t="n">
        <f aca="false">+N44</f>
        <v>0.31059067327535</v>
      </c>
    </row>
    <row r="29" customFormat="false" ht="12.75" hidden="false" customHeight="false" outlineLevel="0" collapsed="false">
      <c r="A29" s="572" t="s">
        <v>704</v>
      </c>
      <c r="B29" s="572"/>
      <c r="C29" s="572"/>
      <c r="D29" s="593" t="n">
        <f aca="false">'Corp I-S&amp;B-S'!N56</f>
        <v>2638.367</v>
      </c>
      <c r="E29" s="572"/>
      <c r="G29" s="527"/>
      <c r="H29" s="591"/>
      <c r="I29" s="591"/>
      <c r="K29" s="591"/>
    </row>
    <row r="30" customFormat="false" ht="12.75" hidden="false" customHeight="false" outlineLevel="0" collapsed="false">
      <c r="A30" s="572" t="s">
        <v>705</v>
      </c>
      <c r="B30" s="572"/>
      <c r="C30" s="572"/>
      <c r="D30" s="594" t="n">
        <f aca="false">IF(D28-D29&lt;0,0,D28-D29)</f>
        <v>1799.6199625</v>
      </c>
      <c r="E30" s="572"/>
      <c r="G30" s="573"/>
      <c r="H30" s="44"/>
      <c r="I30" s="44"/>
      <c r="K30" s="44"/>
    </row>
    <row r="31" customFormat="false" ht="12.75" hidden="false" customHeight="false" outlineLevel="0" collapsed="false">
      <c r="A31" s="572" t="s">
        <v>706</v>
      </c>
      <c r="B31" s="572"/>
      <c r="C31" s="572"/>
      <c r="D31" s="35" t="n">
        <v>40</v>
      </c>
      <c r="E31" s="572"/>
      <c r="G31" s="612"/>
      <c r="H31" s="591"/>
      <c r="I31" s="591"/>
      <c r="K31" s="591"/>
    </row>
    <row r="32" customFormat="false" ht="12.75" hidden="false" customHeight="false" outlineLevel="0" collapsed="false">
      <c r="A32" s="572" t="s">
        <v>707</v>
      </c>
      <c r="B32" s="572"/>
      <c r="C32" s="572"/>
      <c r="D32" s="35" t="n">
        <f aca="false">D30/D31</f>
        <v>44.9904990625</v>
      </c>
      <c r="E32" s="572"/>
      <c r="F32" s="527"/>
      <c r="G32" s="591"/>
      <c r="H32" s="527"/>
      <c r="I32" s="527"/>
      <c r="J32" s="591"/>
      <c r="K32" s="527"/>
    </row>
    <row r="33" customFormat="false" ht="12.75" hidden="false" customHeight="false" outlineLevel="0" collapsed="false">
      <c r="A33" s="572"/>
      <c r="B33" s="572"/>
      <c r="C33" s="572"/>
      <c r="D33" s="572"/>
      <c r="E33" s="572"/>
      <c r="G33" s="44"/>
      <c r="H33" s="527"/>
      <c r="I33" s="527"/>
      <c r="J33" s="44"/>
      <c r="K33" s="527"/>
    </row>
    <row r="34" customFormat="false" ht="12.75" hidden="false" customHeight="false" outlineLevel="0" collapsed="false">
      <c r="A34" s="607"/>
      <c r="B34" s="612"/>
      <c r="C34" s="612"/>
      <c r="D34" s="612"/>
      <c r="E34" s="572"/>
      <c r="F34" s="614"/>
      <c r="G34" s="591"/>
      <c r="H34" s="615"/>
      <c r="I34" s="614"/>
      <c r="J34" s="591"/>
    </row>
    <row r="35" customFormat="false" ht="12.75" hidden="false" customHeight="false" outlineLevel="0" collapsed="false">
      <c r="A35" s="612"/>
      <c r="B35" s="612"/>
      <c r="C35" s="612"/>
      <c r="D35" s="591"/>
      <c r="E35" s="616"/>
      <c r="F35" s="44"/>
      <c r="G35" s="617"/>
      <c r="H35" s="618"/>
      <c r="I35" s="619"/>
      <c r="J35" s="527"/>
    </row>
    <row r="36" customFormat="false" ht="12.75" hidden="false" customHeight="false" outlineLevel="0" collapsed="false">
      <c r="A36" s="612"/>
      <c r="B36" s="612"/>
      <c r="C36" s="612"/>
      <c r="D36" s="44"/>
      <c r="E36" s="616"/>
      <c r="F36" s="44"/>
      <c r="G36" s="617"/>
      <c r="H36" s="618"/>
      <c r="I36" s="619"/>
      <c r="J36" s="527"/>
    </row>
    <row r="37" customFormat="false" ht="12.75" hidden="false" customHeight="false" outlineLevel="0" collapsed="false">
      <c r="A37" s="612"/>
      <c r="B37" s="612"/>
      <c r="C37" s="612"/>
      <c r="D37" s="591"/>
      <c r="E37" s="572"/>
      <c r="F37" s="44"/>
      <c r="G37" s="620"/>
      <c r="H37" s="621"/>
      <c r="I37" s="619"/>
    </row>
    <row r="38" customFormat="false" ht="12.75" hidden="false" customHeight="false" outlineLevel="0" collapsed="false">
      <c r="A38" s="572"/>
      <c r="B38" s="527"/>
      <c r="C38" s="527"/>
      <c r="D38" s="527"/>
      <c r="E38" s="572"/>
      <c r="F38" s="44"/>
      <c r="G38" s="620"/>
      <c r="H38" s="44"/>
      <c r="I38" s="620"/>
    </row>
    <row r="39" customFormat="false" ht="12.75" hidden="false" customHeight="false" outlineLevel="0" collapsed="false">
      <c r="A39" s="527"/>
      <c r="E39" s="572"/>
    </row>
    <row r="40" customFormat="false" ht="12.75" hidden="false" customHeight="false" outlineLevel="0" collapsed="false">
      <c r="A40" s="527"/>
      <c r="B40" s="620"/>
      <c r="C40" s="44"/>
      <c r="D40" s="620"/>
      <c r="E40" s="587"/>
    </row>
    <row r="41" customFormat="false" ht="12.75" hidden="false" customHeight="false" outlineLevel="0" collapsed="false">
      <c r="E41" s="589"/>
      <c r="G41" s="620"/>
      <c r="H41" s="622" t="n">
        <v>0</v>
      </c>
      <c r="I41" s="622" t="n">
        <v>0.2</v>
      </c>
      <c r="J41" s="623" t="n">
        <v>0.25</v>
      </c>
      <c r="K41" s="623" t="n">
        <v>0.3</v>
      </c>
      <c r="L41" s="623" t="n">
        <v>0.35</v>
      </c>
      <c r="M41" s="623" t="n">
        <v>0.4</v>
      </c>
      <c r="N41" s="623" t="n">
        <v>0.45</v>
      </c>
    </row>
    <row r="42" customFormat="false" ht="12.75" hidden="false" customHeight="false" outlineLevel="0" collapsed="false">
      <c r="B42" s="45"/>
      <c r="C42" s="624"/>
      <c r="D42" s="624"/>
      <c r="E42" s="612"/>
      <c r="F42" s="27" t="n">
        <v>2000</v>
      </c>
      <c r="G42" s="620" t="n">
        <f aca="false">+I21</f>
        <v>0.366885764554542</v>
      </c>
      <c r="H42" s="27" t="n">
        <f aca="true">TABLE($G42,$D$10,H$41)</f>
        <v>0.44346872457592</v>
      </c>
      <c r="I42" s="625" t="n">
        <f aca="true">TABLE($G42,$D$10,I$41)</f>
        <v>0.392220564876362</v>
      </c>
      <c r="J42" s="625" t="n">
        <f aca="true">TABLE($G42,$D$10,J$41)</f>
        <v>0.379529285306026</v>
      </c>
      <c r="K42" s="625" t="n">
        <f aca="true">TABLE($G42,$D$10,K$41)</f>
        <v>0.366885764554542</v>
      </c>
      <c r="L42" s="625" t="n">
        <f aca="true">TABLE($G42,$D$10,L$41)</f>
        <v>0.354289733544882</v>
      </c>
      <c r="M42" s="625" t="n">
        <f aca="true">TABLE($G42,$D$10,M$41)</f>
        <v>0.341740925217566</v>
      </c>
      <c r="N42" s="625" t="n">
        <f aca="true">TABLE($G42,$D$10,N$41)</f>
        <v>0.329239074511788</v>
      </c>
      <c r="O42" s="625"/>
    </row>
    <row r="43" customFormat="false" ht="12.75" hidden="false" customHeight="false" outlineLevel="0" collapsed="false">
      <c r="B43" s="45"/>
      <c r="C43" s="624"/>
      <c r="D43" s="624"/>
      <c r="E43" s="591"/>
      <c r="H43" s="622" t="n">
        <v>0</v>
      </c>
      <c r="I43" s="622" t="n">
        <v>0.2</v>
      </c>
      <c r="J43" s="623" t="n">
        <v>0.25</v>
      </c>
      <c r="K43" s="623" t="n">
        <v>0.3</v>
      </c>
      <c r="L43" s="623" t="n">
        <v>0.35</v>
      </c>
      <c r="M43" s="623" t="n">
        <v>0.4</v>
      </c>
      <c r="N43" s="623" t="n">
        <v>0.45</v>
      </c>
    </row>
    <row r="44" customFormat="false" ht="12.75" hidden="false" customHeight="false" outlineLevel="0" collapsed="false">
      <c r="E44" s="44"/>
      <c r="F44" s="27" t="n">
        <v>2001</v>
      </c>
      <c r="G44" s="620" t="n">
        <f aca="false">+J21</f>
        <v>0.347717696535091</v>
      </c>
      <c r="H44" s="27" t="n">
        <f aca="true">TABLE($G44,$D$10,H$43)</f>
        <v>0.423190114681619</v>
      </c>
      <c r="I44" s="622" t="n">
        <f aca="true">TABLE($G44,$D$10,I$43)</f>
        <v>0.372693036293906</v>
      </c>
      <c r="J44" s="622" t="n">
        <f aca="true">TABLE($G44,$D$10,J$43)</f>
        <v>0.36018280545251</v>
      </c>
      <c r="K44" s="623" t="n">
        <f aca="true">TABLE($G44,$D$10,K$43)</f>
        <v>0.347717696535091</v>
      </c>
      <c r="L44" s="623" t="n">
        <f aca="true">TABLE($G44,$D$10,L$43)</f>
        <v>0.335297465862341</v>
      </c>
      <c r="M44" s="623" t="n">
        <f aca="true">TABLE($G44,$D$10,M$43)</f>
        <v>0.32292187150644</v>
      </c>
      <c r="N44" s="623" t="n">
        <f aca="true">TABLE($G44,$D$10,N$43)</f>
        <v>0.31059067327535</v>
      </c>
      <c r="O44" s="623"/>
    </row>
    <row r="45" customFormat="false" ht="12.75" hidden="false" customHeight="false" outlineLevel="0" collapsed="false">
      <c r="E45" s="591"/>
    </row>
    <row r="46" customFormat="false" ht="12.75" hidden="false" customHeight="false" outlineLevel="0" collapsed="false">
      <c r="E46" s="527"/>
    </row>
    <row r="47" customFormat="false" ht="12.75" hidden="false" customHeight="false" outlineLevel="0" collapsed="false">
      <c r="B47" s="620"/>
      <c r="C47" s="35"/>
      <c r="D47" s="596"/>
    </row>
    <row r="48" customFormat="false" ht="12.75" hidden="false" customHeight="false" outlineLevel="0" collapsed="false">
      <c r="B48" s="45"/>
      <c r="C48" s="624"/>
      <c r="D48" s="624"/>
      <c r="E48" s="626"/>
    </row>
    <row r="49" customFormat="false" ht="12.75" hidden="false" customHeight="false" outlineLevel="0" collapsed="false">
      <c r="B49" s="45"/>
      <c r="C49" s="624"/>
      <c r="D49" s="624"/>
    </row>
    <row r="50" customFormat="false" ht="12.75" hidden="false" customHeight="false" outlineLevel="0" collapsed="false">
      <c r="B50" s="45"/>
      <c r="C50" s="624"/>
      <c r="D50" s="624"/>
    </row>
    <row r="52" customFormat="false" ht="12.75" hidden="false" customHeight="false" outlineLevel="0" collapsed="false">
      <c r="B52" s="620"/>
    </row>
    <row r="53" customFormat="false" ht="12.75" hidden="false" customHeight="false" outlineLevel="0" collapsed="false">
      <c r="B53" s="45"/>
    </row>
    <row r="54" customFormat="false" ht="12.75" hidden="false" customHeight="false" outlineLevel="0" collapsed="false">
      <c r="B54" s="45"/>
    </row>
    <row r="55" customFormat="false" ht="12.75" hidden="false" customHeight="false" outlineLevel="0" collapsed="false">
      <c r="B55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41"/>
    <col collapsed="false" customWidth="true" hidden="false" outlineLevel="0" max="2" min="2" style="0" width="13.7"/>
    <col collapsed="false" customWidth="true" hidden="false" outlineLevel="0" max="3" min="3" style="0" width="17.7"/>
    <col collapsed="false" customWidth="true" hidden="false" outlineLevel="0" max="4" min="4" style="46" width="17.85"/>
  </cols>
  <sheetData>
    <row r="1" customFormat="false" ht="12.75" hidden="false" customHeight="false" outlineLevel="0" collapsed="false">
      <c r="A1" s="28" t="s">
        <v>708</v>
      </c>
    </row>
    <row r="3" customFormat="false" ht="12.75" hidden="false" customHeight="false" outlineLevel="0" collapsed="false">
      <c r="A3" s="28" t="s">
        <v>100</v>
      </c>
      <c r="B3" s="28" t="s">
        <v>108</v>
      </c>
      <c r="C3" s="0" t="s">
        <v>101</v>
      </c>
      <c r="D3" s="46" t="n">
        <v>4806.958</v>
      </c>
      <c r="E3" s="54" t="n">
        <f aca="false">D3/D5</f>
        <v>0.859437246944743</v>
      </c>
    </row>
    <row r="4" customFormat="false" ht="15" hidden="false" customHeight="false" outlineLevel="0" collapsed="false">
      <c r="C4" s="0" t="s">
        <v>102</v>
      </c>
      <c r="D4" s="38" t="n">
        <v>786.188</v>
      </c>
      <c r="E4" s="54" t="n">
        <f aca="false">D4/D5</f>
        <v>0.140562753055257</v>
      </c>
    </row>
    <row r="5" customFormat="false" ht="12.75" hidden="false" customHeight="false" outlineLevel="0" collapsed="false">
      <c r="D5" s="46" t="n">
        <f aca="false">SUM(D3:D4)</f>
        <v>5593.146</v>
      </c>
    </row>
    <row r="7" customFormat="false" ht="15" hidden="false" customHeight="false" outlineLevel="0" collapsed="false">
      <c r="B7" s="28" t="s">
        <v>109</v>
      </c>
      <c r="C7" s="0" t="s">
        <v>110</v>
      </c>
      <c r="D7" s="38" t="n">
        <v>3252.2</v>
      </c>
    </row>
    <row r="8" customFormat="false" ht="12.75" hidden="false" customHeight="false" outlineLevel="0" collapsed="false">
      <c r="C8" s="0" t="s">
        <v>101</v>
      </c>
      <c r="D8" s="55" t="n">
        <f aca="false">D7*E3</f>
        <v>2795.06181451369</v>
      </c>
    </row>
    <row r="9" customFormat="false" ht="12.75" hidden="false" customHeight="false" outlineLevel="0" collapsed="false">
      <c r="C9" s="0" t="s">
        <v>102</v>
      </c>
      <c r="D9" s="55" t="n">
        <f aca="false">D7*E4</f>
        <v>457.138185486308</v>
      </c>
    </row>
    <row r="12" customFormat="false" ht="12.75" hidden="false" customHeight="false" outlineLevel="0" collapsed="false">
      <c r="A12" s="28" t="s">
        <v>103</v>
      </c>
      <c r="B12" s="28" t="s">
        <v>109</v>
      </c>
      <c r="C12" s="0" t="s">
        <v>110</v>
      </c>
      <c r="D12" s="55" t="n">
        <v>2592.244</v>
      </c>
    </row>
    <row r="18" customFormat="false" ht="12.75" hidden="false" customHeight="false" outlineLevel="0" collapsed="false">
      <c r="A18" s="28" t="s">
        <v>94</v>
      </c>
    </row>
    <row r="19" customFormat="false" ht="12.75" hidden="false" customHeight="false" outlineLevel="0" collapsed="false">
      <c r="A19" s="0" t="s">
        <v>95</v>
      </c>
    </row>
    <row r="20" customFormat="false" ht="12.75" hidden="false" customHeight="false" outlineLevel="0" collapsed="false">
      <c r="A20" s="0" t="s">
        <v>96</v>
      </c>
    </row>
    <row r="21" customFormat="false" ht="12.75" hidden="false" customHeight="false" outlineLevel="0" collapsed="false">
      <c r="C21" s="50" t="s">
        <v>97</v>
      </c>
      <c r="D21" s="50" t="s">
        <v>98</v>
      </c>
      <c r="E21" s="0" t="s">
        <v>99</v>
      </c>
    </row>
    <row r="22" customFormat="false" ht="12.75" hidden="false" customHeight="false" outlineLevel="0" collapsed="false">
      <c r="A22" s="28" t="s">
        <v>100</v>
      </c>
    </row>
    <row r="23" customFormat="false" ht="12.75" hidden="false" customHeight="false" outlineLevel="0" collapsed="false">
      <c r="A23" s="28"/>
      <c r="B23" s="0" t="s">
        <v>101</v>
      </c>
      <c r="C23" s="46" t="n">
        <v>419.415394</v>
      </c>
      <c r="D23" s="46" t="n">
        <v>1105.549592</v>
      </c>
      <c r="E23" s="627" t="n">
        <f aca="false">D23+C23</f>
        <v>1524.964986</v>
      </c>
    </row>
    <row r="24" customFormat="false" ht="12.75" hidden="false" customHeight="false" outlineLevel="0" collapsed="false">
      <c r="A24" s="28"/>
      <c r="B24" s="0" t="s">
        <v>102</v>
      </c>
      <c r="C24" s="46" t="n">
        <v>0</v>
      </c>
      <c r="D24" s="46" t="n">
        <v>548.002261</v>
      </c>
      <c r="E24" s="627" t="n">
        <f aca="false">D24+C24</f>
        <v>548.002261</v>
      </c>
    </row>
    <row r="25" customFormat="false" ht="12.75" hidden="false" customHeight="false" outlineLevel="0" collapsed="false">
      <c r="A25" s="28" t="s">
        <v>103</v>
      </c>
      <c r="C25" s="46"/>
      <c r="E25" s="627"/>
    </row>
    <row r="26" customFormat="false" ht="12.75" hidden="false" customHeight="false" outlineLevel="0" collapsed="false">
      <c r="A26" s="28"/>
      <c r="B26" s="0" t="s">
        <v>101</v>
      </c>
      <c r="C26" s="46" t="n">
        <v>625.829285</v>
      </c>
      <c r="D26" s="46" t="n">
        <v>1385.622258</v>
      </c>
      <c r="E26" s="627" t="n">
        <f aca="false">D26+C26</f>
        <v>2011.451543</v>
      </c>
    </row>
    <row r="27" customFormat="false" ht="12.75" hidden="false" customHeight="false" outlineLevel="0" collapsed="false">
      <c r="A27" s="28"/>
      <c r="C27" s="46"/>
      <c r="E27" s="627" t="n">
        <f aca="false">SUM(E23:E26)</f>
        <v>4084.41879</v>
      </c>
    </row>
    <row r="28" customFormat="false" ht="12.75" hidden="false" customHeight="false" outlineLevel="0" collapsed="false">
      <c r="A28" s="49" t="s">
        <v>104</v>
      </c>
      <c r="C28" s="46"/>
      <c r="E28" s="627"/>
    </row>
    <row r="29" customFormat="false" ht="12.75" hidden="false" customHeight="false" outlineLevel="0" collapsed="false">
      <c r="A29" s="28"/>
      <c r="C29" s="46"/>
      <c r="E29" s="627"/>
    </row>
    <row r="30" customFormat="false" ht="12.75" hidden="false" customHeight="false" outlineLevel="0" collapsed="false">
      <c r="A30" s="28" t="s">
        <v>100</v>
      </c>
      <c r="C30" s="46"/>
      <c r="E30" s="627"/>
    </row>
    <row r="31" customFormat="false" ht="12.75" hidden="false" customHeight="false" outlineLevel="0" collapsed="false">
      <c r="A31" s="28"/>
      <c r="B31" s="0" t="s">
        <v>101</v>
      </c>
      <c r="C31" s="46" t="n">
        <v>141.351017</v>
      </c>
      <c r="D31" s="46" t="n">
        <v>334.150252</v>
      </c>
      <c r="E31" s="627" t="n">
        <f aca="false">D31+C31</f>
        <v>475.501269</v>
      </c>
    </row>
    <row r="32" customFormat="false" ht="12.75" hidden="false" customHeight="false" outlineLevel="0" collapsed="false">
      <c r="A32" s="28"/>
      <c r="B32" s="0" t="s">
        <v>102</v>
      </c>
      <c r="C32" s="46"/>
      <c r="E32" s="627" t="n">
        <f aca="false">D32+C32</f>
        <v>0</v>
      </c>
      <c r="G32" s="457"/>
    </row>
    <row r="33" customFormat="false" ht="12.75" hidden="false" customHeight="false" outlineLevel="0" collapsed="false">
      <c r="A33" s="28" t="s">
        <v>103</v>
      </c>
      <c r="C33" s="46"/>
      <c r="E33" s="627"/>
      <c r="G33" s="369"/>
    </row>
    <row r="34" customFormat="false" ht="12.75" hidden="false" customHeight="false" outlineLevel="0" collapsed="false">
      <c r="A34" s="28"/>
      <c r="B34" s="0" t="s">
        <v>101</v>
      </c>
      <c r="C34" s="46" t="n">
        <v>250.720035</v>
      </c>
      <c r="D34" s="46" t="n">
        <v>466.723353</v>
      </c>
      <c r="E34" s="627" t="n">
        <f aca="false">D34+C34</f>
        <v>717.443388</v>
      </c>
      <c r="G34" s="369"/>
    </row>
    <row r="35" customFormat="false" ht="12.75" hidden="false" customHeight="false" outlineLevel="0" collapsed="false">
      <c r="A35" s="28"/>
      <c r="C35" s="46"/>
      <c r="E35" s="627" t="n">
        <f aca="false">E34+E31</f>
        <v>1192.944657</v>
      </c>
    </row>
    <row r="36" customFormat="false" ht="12.75" hidden="false" customHeight="false" outlineLevel="0" collapsed="false">
      <c r="A36" s="49" t="s">
        <v>105</v>
      </c>
      <c r="C36" s="457" t="n">
        <f aca="false">C26+C23-C31-C34</f>
        <v>653.173627</v>
      </c>
      <c r="D36" s="46" t="n">
        <f aca="false">D26+D23-D31-D34</f>
        <v>1690.298245</v>
      </c>
      <c r="E36" s="627"/>
    </row>
    <row r="37" customFormat="false" ht="12.75" hidden="false" customHeight="false" outlineLevel="0" collapsed="false">
      <c r="A37" s="28"/>
      <c r="C37" s="457"/>
      <c r="E37" s="627"/>
    </row>
    <row r="38" customFormat="false" ht="12.75" hidden="false" customHeight="false" outlineLevel="0" collapsed="false">
      <c r="A38" s="28" t="s">
        <v>100</v>
      </c>
      <c r="C38" s="457"/>
      <c r="E38" s="627"/>
    </row>
    <row r="39" customFormat="false" ht="12.75" hidden="false" customHeight="false" outlineLevel="0" collapsed="false">
      <c r="A39" s="28"/>
      <c r="B39" s="0" t="s">
        <v>101</v>
      </c>
      <c r="C39" s="457" t="n">
        <f aca="false">+C23-C31</f>
        <v>278.064377</v>
      </c>
      <c r="D39" s="457" t="n">
        <f aca="false">+D23-D31</f>
        <v>771.39934</v>
      </c>
      <c r="E39" s="627" t="n">
        <f aca="false">D39+C39</f>
        <v>1049.463717</v>
      </c>
    </row>
    <row r="40" customFormat="false" ht="12.75" hidden="false" customHeight="false" outlineLevel="0" collapsed="false">
      <c r="A40" s="28"/>
      <c r="B40" s="0" t="s">
        <v>102</v>
      </c>
      <c r="C40" s="457" t="n">
        <f aca="false">+C24-C32</f>
        <v>0</v>
      </c>
      <c r="D40" s="457" t="n">
        <f aca="false">+D24-D32</f>
        <v>548.002261</v>
      </c>
      <c r="E40" s="627" t="n">
        <f aca="false">D40+C40</f>
        <v>548.002261</v>
      </c>
    </row>
    <row r="41" customFormat="false" ht="12.75" hidden="false" customHeight="false" outlineLevel="0" collapsed="false">
      <c r="A41" s="28" t="s">
        <v>103</v>
      </c>
      <c r="C41" s="457"/>
      <c r="E41" s="627"/>
    </row>
    <row r="42" customFormat="false" ht="12.75" hidden="false" customHeight="false" outlineLevel="0" collapsed="false">
      <c r="A42" s="28"/>
      <c r="B42" s="0" t="s">
        <v>101</v>
      </c>
      <c r="C42" s="457" t="n">
        <f aca="false">+C26-C34</f>
        <v>375.10925</v>
      </c>
      <c r="D42" s="457" t="n">
        <f aca="false">+D26-D34</f>
        <v>918.898905</v>
      </c>
      <c r="E42" s="627" t="n">
        <f aca="false">D42+C42</f>
        <v>1294.008155</v>
      </c>
    </row>
    <row r="44" customFormat="false" ht="12.75" hidden="false" customHeight="false" outlineLevel="0" collapsed="false">
      <c r="A44" s="28" t="s">
        <v>709</v>
      </c>
    </row>
    <row r="46" customFormat="false" ht="12.75" hidden="false" customHeight="false" outlineLevel="0" collapsed="false">
      <c r="B46" s="0" t="s">
        <v>710</v>
      </c>
      <c r="C46" s="457" t="n">
        <f aca="false">$C$23+$D$23+$C$26+$D$26</f>
        <v>3536.416529</v>
      </c>
      <c r="D46" s="457"/>
    </row>
    <row r="47" customFormat="false" ht="12.75" hidden="false" customHeight="false" outlineLevel="0" collapsed="false">
      <c r="B47" s="0" t="s">
        <v>711</v>
      </c>
      <c r="C47" s="369" t="n">
        <f aca="false">C46*0.4</f>
        <v>1414.5666116</v>
      </c>
      <c r="D47" s="369"/>
    </row>
    <row r="48" customFormat="false" ht="15" hidden="false" customHeight="false" outlineLevel="0" collapsed="false">
      <c r="B48" s="0" t="s">
        <v>712</v>
      </c>
      <c r="C48" s="628" t="e">
        <f aca="false">AVERAGE(#REF!)</f>
        <v>#REF!</v>
      </c>
      <c r="D48" s="628"/>
    </row>
    <row r="49" customFormat="false" ht="12.75" hidden="false" customHeight="false" outlineLevel="0" collapsed="false">
      <c r="B49" s="0" t="s">
        <v>713</v>
      </c>
      <c r="C49" s="369" t="e">
        <f aca="false">C48-C47</f>
        <v>#REF!</v>
      </c>
      <c r="D49" s="369"/>
    </row>
    <row r="50" customFormat="false" ht="15" hidden="false" customHeight="false" outlineLevel="0" collapsed="false">
      <c r="B50" s="0" t="s">
        <v>714</v>
      </c>
      <c r="C50" s="628" t="e">
        <f aca="false">C49*0.35</f>
        <v>#REF!</v>
      </c>
      <c r="D50" s="628"/>
    </row>
    <row r="51" customFormat="false" ht="12.75" hidden="false" customHeight="false" outlineLevel="0" collapsed="false">
      <c r="B51" s="0" t="s">
        <v>660</v>
      </c>
      <c r="C51" s="369" t="e">
        <f aca="false">C50/158.8</f>
        <v>#REF!</v>
      </c>
      <c r="D51" s="3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F1" activeCellId="0" sqref="F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44" width="9.14"/>
    <col collapsed="false" customWidth="true" hidden="false" outlineLevel="0" max="2" min="2" style="344" width="10.71"/>
    <col collapsed="false" customWidth="false" hidden="false" outlineLevel="0" max="3" min="3" style="344" width="9.14"/>
    <col collapsed="false" customWidth="true" hidden="false" outlineLevel="0" max="4" min="4" style="344" width="11.13"/>
    <col collapsed="false" customWidth="true" hidden="false" outlineLevel="0" max="5" min="5" style="344" width="8.7"/>
    <col collapsed="false" customWidth="true" hidden="false" outlineLevel="0" max="6" min="6" style="344" width="11.42"/>
    <col collapsed="false" customWidth="true" hidden="false" outlineLevel="0" max="7" min="7" style="344" width="11.13"/>
    <col collapsed="false" customWidth="false" hidden="false" outlineLevel="0" max="257" min="8" style="344" width="9.14"/>
  </cols>
  <sheetData>
    <row r="1" customFormat="false" ht="15.75" hidden="false" customHeight="false" outlineLevel="0" collapsed="false">
      <c r="A1" s="629" t="s">
        <v>715</v>
      </c>
      <c r="F1" s="629" t="s">
        <v>716</v>
      </c>
    </row>
    <row r="3" customFormat="false" ht="12.75" hidden="false" customHeight="false" outlineLevel="0" collapsed="false">
      <c r="B3" s="630" t="s">
        <v>717</v>
      </c>
      <c r="C3" s="31"/>
      <c r="D3" s="631"/>
      <c r="G3" s="630" t="s">
        <v>717</v>
      </c>
      <c r="H3" s="31"/>
      <c r="I3" s="631"/>
    </row>
    <row r="4" customFormat="false" ht="12.75" hidden="false" customHeight="false" outlineLevel="0" collapsed="false">
      <c r="B4" s="632" t="s">
        <v>718</v>
      </c>
      <c r="C4" s="31" t="s">
        <v>132</v>
      </c>
      <c r="D4" s="633" t="s">
        <v>719</v>
      </c>
      <c r="G4" s="632" t="s">
        <v>718</v>
      </c>
      <c r="H4" s="31" t="s">
        <v>132</v>
      </c>
      <c r="I4" s="633" t="s">
        <v>719</v>
      </c>
    </row>
    <row r="5" customFormat="false" ht="12.75" hidden="false" customHeight="false" outlineLevel="0" collapsed="false">
      <c r="A5" s="634" t="s">
        <v>415</v>
      </c>
      <c r="B5" s="635" t="s">
        <v>218</v>
      </c>
      <c r="C5" s="636" t="s">
        <v>132</v>
      </c>
      <c r="D5" s="637" t="s">
        <v>218</v>
      </c>
      <c r="F5" s="634" t="s">
        <v>415</v>
      </c>
      <c r="G5" s="635" t="n">
        <v>18</v>
      </c>
      <c r="H5" s="636" t="s">
        <v>132</v>
      </c>
      <c r="I5" s="637" t="n">
        <v>19.5</v>
      </c>
    </row>
    <row r="6" customFormat="false" ht="12.75" hidden="false" customHeight="false" outlineLevel="0" collapsed="false">
      <c r="A6" s="634" t="s">
        <v>720</v>
      </c>
      <c r="B6" s="638" t="n">
        <v>10.5</v>
      </c>
      <c r="C6" s="639" t="s">
        <v>132</v>
      </c>
      <c r="D6" s="640" t="n">
        <v>11.5</v>
      </c>
      <c r="F6" s="634" t="s">
        <v>720</v>
      </c>
      <c r="G6" s="638" t="n">
        <v>17.5</v>
      </c>
      <c r="H6" s="639" t="s">
        <v>132</v>
      </c>
      <c r="I6" s="640" t="n">
        <v>19</v>
      </c>
    </row>
    <row r="7" customFormat="false" ht="12.75" hidden="false" customHeight="false" outlineLevel="0" collapsed="false">
      <c r="A7" s="634" t="s">
        <v>633</v>
      </c>
      <c r="B7" s="641" t="n">
        <v>9</v>
      </c>
      <c r="C7" s="642" t="s">
        <v>132</v>
      </c>
      <c r="D7" s="643" t="n">
        <v>10</v>
      </c>
      <c r="F7" s="634" t="s">
        <v>633</v>
      </c>
      <c r="G7" s="641" t="n">
        <v>17</v>
      </c>
      <c r="H7" s="642" t="s">
        <v>132</v>
      </c>
      <c r="I7" s="643" t="n">
        <v>18</v>
      </c>
    </row>
    <row r="8" customFormat="false" ht="12.75" hidden="false" customHeight="false" outlineLevel="0" collapsed="false">
      <c r="A8" s="321"/>
      <c r="D8" s="321"/>
    </row>
    <row r="9" customFormat="false" ht="12.75" hidden="false" customHeight="false" outlineLevel="0" collapsed="false">
      <c r="A9" s="321"/>
      <c r="B9" s="630" t="s">
        <v>721</v>
      </c>
      <c r="C9" s="31"/>
      <c r="D9" s="631"/>
      <c r="G9" s="630" t="s">
        <v>721</v>
      </c>
      <c r="H9" s="31"/>
      <c r="I9" s="631"/>
    </row>
    <row r="10" customFormat="false" ht="12.75" hidden="false" customHeight="false" outlineLevel="0" collapsed="false">
      <c r="B10" s="632" t="s">
        <v>718</v>
      </c>
      <c r="C10" s="31" t="s">
        <v>132</v>
      </c>
      <c r="D10" s="633" t="s">
        <v>719</v>
      </c>
      <c r="G10" s="632" t="s">
        <v>718</v>
      </c>
      <c r="H10" s="31" t="s">
        <v>132</v>
      </c>
      <c r="I10" s="633" t="s">
        <v>719</v>
      </c>
    </row>
    <row r="11" customFormat="false" ht="12.75" hidden="false" customHeight="false" outlineLevel="0" collapsed="false">
      <c r="B11" s="644" t="n">
        <v>1.5</v>
      </c>
      <c r="C11" s="31" t="s">
        <v>132</v>
      </c>
      <c r="D11" s="645" t="n">
        <v>2</v>
      </c>
      <c r="G11" s="644" t="n">
        <v>2</v>
      </c>
      <c r="H11" s="31" t="s">
        <v>132</v>
      </c>
      <c r="I11" s="645" t="n">
        <v>2.5</v>
      </c>
    </row>
    <row r="13" customFormat="false" ht="12.75" hidden="false" customHeight="false" outlineLevel="0" collapsed="false">
      <c r="B13" s="630" t="s">
        <v>722</v>
      </c>
      <c r="C13" s="31"/>
      <c r="D13" s="631"/>
      <c r="G13" s="630" t="s">
        <v>722</v>
      </c>
      <c r="H13" s="31"/>
      <c r="I13" s="631"/>
    </row>
    <row r="14" customFormat="false" ht="12.75" hidden="false" customHeight="false" outlineLevel="0" collapsed="false">
      <c r="B14" s="632" t="s">
        <v>718</v>
      </c>
      <c r="C14" s="31" t="s">
        <v>132</v>
      </c>
      <c r="D14" s="633" t="s">
        <v>719</v>
      </c>
      <c r="G14" s="632" t="s">
        <v>718</v>
      </c>
      <c r="H14" s="31" t="s">
        <v>132</v>
      </c>
      <c r="I14" s="633" t="s">
        <v>719</v>
      </c>
    </row>
    <row r="15" customFormat="false" ht="12.75" hidden="false" customHeight="false" outlineLevel="0" collapsed="false">
      <c r="A15" s="634" t="s">
        <v>415</v>
      </c>
      <c r="B15" s="635" t="n">
        <v>6.5</v>
      </c>
      <c r="C15" s="636" t="s">
        <v>132</v>
      </c>
      <c r="D15" s="637" t="n">
        <v>7</v>
      </c>
      <c r="F15" s="634" t="s">
        <v>415</v>
      </c>
      <c r="G15" s="635" t="n">
        <v>8.5</v>
      </c>
      <c r="H15" s="636" t="s">
        <v>132</v>
      </c>
      <c r="I15" s="637" t="n">
        <v>9.5</v>
      </c>
    </row>
    <row r="16" customFormat="false" ht="12.75" hidden="false" customHeight="false" outlineLevel="0" collapsed="false">
      <c r="A16" s="634" t="s">
        <v>720</v>
      </c>
      <c r="B16" s="638" t="n">
        <v>6.5</v>
      </c>
      <c r="C16" s="639" t="s">
        <v>132</v>
      </c>
      <c r="D16" s="640" t="n">
        <v>7</v>
      </c>
      <c r="F16" s="634" t="s">
        <v>720</v>
      </c>
      <c r="G16" s="638"/>
      <c r="H16" s="639" t="s">
        <v>132</v>
      </c>
      <c r="I16" s="640"/>
    </row>
    <row r="17" customFormat="false" ht="12.75" hidden="false" customHeight="false" outlineLevel="0" collapsed="false">
      <c r="A17" s="634" t="s">
        <v>633</v>
      </c>
      <c r="B17" s="641" t="n">
        <v>6</v>
      </c>
      <c r="C17" s="642" t="s">
        <v>132</v>
      </c>
      <c r="D17" s="643" t="n">
        <v>6.5</v>
      </c>
      <c r="F17" s="634" t="s">
        <v>633</v>
      </c>
      <c r="G17" s="641"/>
      <c r="H17" s="642" t="s">
        <v>132</v>
      </c>
      <c r="I17" s="643"/>
    </row>
    <row r="19" customFormat="false" ht="15.75" hidden="false" customHeight="false" outlineLevel="0" collapsed="false">
      <c r="A19" s="629" t="s">
        <v>723</v>
      </c>
    </row>
    <row r="22" customFormat="false" ht="12.75" hidden="false" customHeight="false" outlineLevel="0" collapsed="false">
      <c r="B22" s="630" t="s">
        <v>722</v>
      </c>
      <c r="C22" s="31"/>
      <c r="D22" s="631"/>
    </row>
    <row r="23" customFormat="false" ht="12.75" hidden="false" customHeight="false" outlineLevel="0" collapsed="false">
      <c r="B23" s="632" t="s">
        <v>718</v>
      </c>
      <c r="C23" s="31" t="s">
        <v>132</v>
      </c>
      <c r="D23" s="633" t="s">
        <v>719</v>
      </c>
    </row>
    <row r="24" customFormat="false" ht="12.75" hidden="false" customHeight="false" outlineLevel="0" collapsed="false">
      <c r="A24" s="634" t="s">
        <v>415</v>
      </c>
      <c r="B24" s="635" t="n">
        <v>10</v>
      </c>
      <c r="C24" s="636" t="s">
        <v>132</v>
      </c>
      <c r="D24" s="637" t="n">
        <v>10.5</v>
      </c>
    </row>
    <row r="25" customFormat="false" ht="12.75" hidden="false" customHeight="false" outlineLevel="0" collapsed="false">
      <c r="A25" s="634" t="s">
        <v>720</v>
      </c>
      <c r="B25" s="638"/>
      <c r="C25" s="639" t="s">
        <v>132</v>
      </c>
      <c r="D25" s="640"/>
    </row>
    <row r="26" customFormat="false" ht="12.75" hidden="false" customHeight="false" outlineLevel="0" collapsed="false">
      <c r="A26" s="634" t="s">
        <v>633</v>
      </c>
      <c r="B26" s="641"/>
      <c r="C26" s="642" t="s">
        <v>132</v>
      </c>
      <c r="D26" s="6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45.7"/>
    <col collapsed="false" customWidth="true" hidden="false" outlineLevel="0" max="3" min="3" style="0" width="15.13"/>
    <col collapsed="false" customWidth="true" hidden="false" outlineLevel="0" max="4" min="4" style="0" width="21.13"/>
    <col collapsed="false" customWidth="true" hidden="false" outlineLevel="0" max="5" min="5" style="0" width="14.14"/>
    <col collapsed="false" customWidth="true" hidden="false" outlineLevel="0" max="6" min="6" style="0" width="18.28"/>
    <col collapsed="false" customWidth="true" hidden="false" outlineLevel="0" max="7" min="7" style="0" width="18.7"/>
    <col collapsed="false" customWidth="true" hidden="false" outlineLevel="0" max="8" min="8" style="0" width="17.99"/>
    <col collapsed="false" customWidth="true" hidden="false" outlineLevel="0" max="9" min="9" style="0" width="11.28"/>
  </cols>
  <sheetData>
    <row r="1" customFormat="false" ht="15.75" hidden="false" customHeight="false" outlineLevel="0" collapsed="false">
      <c r="A1" s="358" t="s">
        <v>724</v>
      </c>
      <c r="C1" s="646"/>
    </row>
    <row r="2" customFormat="false" ht="12.75" hidden="false" customHeight="false" outlineLevel="0" collapsed="false">
      <c r="C2" s="646"/>
    </row>
    <row r="3" customFormat="false" ht="12.75" hidden="false" customHeight="false" outlineLevel="0" collapsed="false">
      <c r="A3" s="647" t="s">
        <v>725</v>
      </c>
      <c r="B3" s="648" t="s">
        <v>726</v>
      </c>
      <c r="C3" s="649" t="s">
        <v>727</v>
      </c>
      <c r="D3" s="650" t="s">
        <v>728</v>
      </c>
      <c r="E3" s="650" t="s">
        <v>729</v>
      </c>
      <c r="F3" s="650" t="s">
        <v>730</v>
      </c>
      <c r="G3" s="650" t="s">
        <v>731</v>
      </c>
      <c r="H3" s="650" t="s">
        <v>732</v>
      </c>
      <c r="I3" s="650" t="s">
        <v>733</v>
      </c>
    </row>
    <row r="4" customFormat="false" ht="12.75" hidden="false" customHeight="false" outlineLevel="0" collapsed="false">
      <c r="A4" s="651" t="n">
        <v>36430</v>
      </c>
      <c r="B4" s="652" t="s">
        <v>734</v>
      </c>
      <c r="C4" s="653" t="n">
        <v>686.166402395345</v>
      </c>
      <c r="D4" s="652" t="n">
        <v>21.5760703037166</v>
      </c>
      <c r="E4" s="652" t="n">
        <v>0.545096538510604</v>
      </c>
      <c r="F4" s="652" t="n">
        <v>15.7881556955681</v>
      </c>
      <c r="G4" s="652" t="n">
        <v>6.27377932427031</v>
      </c>
      <c r="H4" s="652" t="n">
        <v>7.85259489382711</v>
      </c>
      <c r="I4" s="652" t="n">
        <v>29.4286651975437</v>
      </c>
    </row>
    <row r="5" customFormat="false" ht="12.75" hidden="false" customHeight="false" outlineLevel="0" collapsed="false">
      <c r="A5" s="651" t="n">
        <v>36402</v>
      </c>
      <c r="B5" s="652" t="s">
        <v>735</v>
      </c>
      <c r="C5" s="646" t="n">
        <v>640.049906425452</v>
      </c>
      <c r="D5" s="369" t="n">
        <v>21.8757599785648</v>
      </c>
      <c r="E5" s="369" t="n">
        <v>0.56660258637961</v>
      </c>
      <c r="F5" s="369" t="n">
        <v>12.0605713179925</v>
      </c>
      <c r="G5" s="369" t="n">
        <v>4.41498112262063</v>
      </c>
      <c r="H5" s="369" t="n">
        <v>5.62103825441988</v>
      </c>
      <c r="I5" s="652" t="n">
        <v>27.4967982329847</v>
      </c>
    </row>
    <row r="6" customFormat="false" ht="12.75" hidden="false" customHeight="false" outlineLevel="0" collapsed="false">
      <c r="A6" s="651" t="n">
        <v>36242</v>
      </c>
      <c r="B6" s="652" t="s">
        <v>736</v>
      </c>
      <c r="C6" s="646" t="n">
        <v>528.494564620622</v>
      </c>
      <c r="D6" s="369" t="n">
        <v>34.0463569148804</v>
      </c>
      <c r="E6" s="369" t="n">
        <v>0.321835993822137</v>
      </c>
      <c r="F6" s="369" t="n">
        <v>6.93419351721524</v>
      </c>
      <c r="G6" s="369" t="n">
        <v>6.47549749901978</v>
      </c>
      <c r="H6" s="369" t="n">
        <v>7.1689168507413</v>
      </c>
      <c r="I6" s="652" t="n">
        <v>41.2152737656217</v>
      </c>
    </row>
    <row r="7" customFormat="false" ht="12.75" hidden="false" customHeight="false" outlineLevel="0" collapsed="false">
      <c r="A7" s="651" t="n">
        <v>35827</v>
      </c>
      <c r="B7" s="652" t="s">
        <v>737</v>
      </c>
      <c r="C7" s="646" t="n">
        <v>167.870036101083</v>
      </c>
      <c r="D7" s="369" t="n">
        <v>24.4728990259107</v>
      </c>
      <c r="E7" s="369" t="n">
        <v>0.318390380050443</v>
      </c>
      <c r="F7" s="369" t="n">
        <v>27.8041463310059</v>
      </c>
      <c r="G7" s="369" t="n">
        <v>21.0427494217837</v>
      </c>
      <c r="H7" s="369" t="n">
        <v>23.8231640548842</v>
      </c>
      <c r="I7" s="652" t="n">
        <v>48.296063080795</v>
      </c>
    </row>
    <row r="8" customFormat="false" ht="12.75" hidden="false" customHeight="false" outlineLevel="0" collapsed="false">
      <c r="A8" s="651" t="n">
        <v>35794</v>
      </c>
      <c r="B8" s="652" t="s">
        <v>738</v>
      </c>
      <c r="C8" s="646" t="n">
        <v>138.775510204082</v>
      </c>
      <c r="D8" s="369" t="n">
        <v>39.5923940882242</v>
      </c>
      <c r="E8" s="369" t="n">
        <v>0.437642985276302</v>
      </c>
      <c r="F8" s="369" t="n">
        <v>1.09184705399343</v>
      </c>
      <c r="G8" s="369" t="n">
        <v>1.6593557093246</v>
      </c>
      <c r="H8" s="369" t="n">
        <v>1.76854041472394</v>
      </c>
      <c r="I8" s="652" t="n">
        <v>41.3609345029481</v>
      </c>
    </row>
    <row r="9" customFormat="false" ht="12.75" hidden="false" customHeight="false" outlineLevel="0" collapsed="false">
      <c r="A9" s="321"/>
      <c r="C9" s="646"/>
    </row>
    <row r="10" customFormat="false" ht="12.75" hidden="false" customHeight="false" outlineLevel="0" collapsed="false">
      <c r="A10" s="321"/>
      <c r="C10" s="646"/>
      <c r="D10" s="369"/>
      <c r="E10" s="369"/>
      <c r="F10" s="369"/>
      <c r="G10" s="369"/>
      <c r="H10" s="369"/>
      <c r="I10" s="369"/>
    </row>
    <row r="11" customFormat="false" ht="15.75" hidden="false" customHeight="false" outlineLevel="0" collapsed="false">
      <c r="A11" s="358" t="s">
        <v>739</v>
      </c>
      <c r="C11" s="646"/>
      <c r="D11" s="369"/>
      <c r="E11" s="369"/>
      <c r="F11" s="369"/>
      <c r="G11" s="369"/>
      <c r="H11" s="369"/>
      <c r="I11" s="369"/>
    </row>
    <row r="12" customFormat="false" ht="12.75" hidden="false" customHeight="false" outlineLevel="0" collapsed="false">
      <c r="A12" s="321"/>
      <c r="C12" s="646"/>
      <c r="D12" s="369"/>
      <c r="E12" s="369"/>
      <c r="F12" s="369"/>
      <c r="G12" s="369"/>
      <c r="H12" s="369"/>
      <c r="I12" s="369"/>
    </row>
    <row r="13" customFormat="false" ht="12.75" hidden="false" customHeight="false" outlineLevel="0" collapsed="false">
      <c r="A13" s="647" t="s">
        <v>725</v>
      </c>
      <c r="B13" s="647" t="s">
        <v>726</v>
      </c>
      <c r="C13" s="649" t="s">
        <v>727</v>
      </c>
      <c r="D13" s="650" t="s">
        <v>728</v>
      </c>
      <c r="E13" s="650" t="s">
        <v>729</v>
      </c>
      <c r="F13" s="650" t="s">
        <v>730</v>
      </c>
      <c r="G13" s="650" t="s">
        <v>731</v>
      </c>
      <c r="H13" s="650" t="s">
        <v>732</v>
      </c>
      <c r="I13" s="650" t="s">
        <v>733</v>
      </c>
    </row>
    <row r="14" customFormat="false" ht="12.75" hidden="false" customHeight="false" outlineLevel="0" collapsed="false">
      <c r="A14" s="651" t="n">
        <v>36335</v>
      </c>
      <c r="B14" s="0" t="s">
        <v>740</v>
      </c>
      <c r="C14" s="646" t="n">
        <v>207.410880955172</v>
      </c>
      <c r="D14" s="369" t="n">
        <v>42.2786565178988</v>
      </c>
      <c r="E14" s="369" t="n">
        <v>0.24560357063919</v>
      </c>
      <c r="F14" s="369" t="n">
        <v>10.3704655811059</v>
      </c>
      <c r="G14" s="369" t="n">
        <v>4.08657849279858</v>
      </c>
      <c r="H14" s="369" t="n">
        <v>5.12362505090916</v>
      </c>
      <c r="I14" s="652" t="n">
        <v>47.4022815688079</v>
      </c>
    </row>
    <row r="15" customFormat="false" ht="12.75" hidden="false" customHeight="false" outlineLevel="0" collapsed="false">
      <c r="A15" s="651" t="n">
        <v>36305</v>
      </c>
      <c r="B15" s="0" t="s">
        <v>741</v>
      </c>
      <c r="C15" s="646" t="n">
        <v>239.54802259887</v>
      </c>
      <c r="D15" s="369" t="n">
        <v>22.6948024264582</v>
      </c>
      <c r="E15" s="369" t="n">
        <v>0.621004200741257</v>
      </c>
      <c r="F15" s="369" t="n">
        <v>89.9665447210888</v>
      </c>
      <c r="G15" s="369" t="n">
        <v>21.4917146255383</v>
      </c>
      <c r="H15" s="369" t="n">
        <v>30.4883690976471</v>
      </c>
      <c r="I15" s="652" t="n">
        <v>53.1831715241053</v>
      </c>
    </row>
    <row r="16" customFormat="false" ht="12.75" hidden="false" customHeight="false" outlineLevel="0" collapsed="false">
      <c r="A16" s="651" t="n">
        <v>36251</v>
      </c>
      <c r="B16" s="0" t="s">
        <v>742</v>
      </c>
      <c r="C16" s="646" t="n">
        <v>53.6992840095465</v>
      </c>
      <c r="D16" s="369" t="n">
        <v>64.0558038929652</v>
      </c>
      <c r="E16" s="369" t="n">
        <v>0.0297888672747682</v>
      </c>
      <c r="F16" s="369" t="n">
        <v>4.42152229434804</v>
      </c>
      <c r="G16" s="369" t="n">
        <v>1.87172805491216</v>
      </c>
      <c r="H16" s="369" t="n">
        <v>2.31388028434697</v>
      </c>
      <c r="I16" s="652" t="n">
        <v>66.3696841773121</v>
      </c>
    </row>
    <row r="17" customFormat="false" ht="12.75" hidden="false" customHeight="false" outlineLevel="0" collapsed="false">
      <c r="A17" s="651" t="n">
        <v>36222</v>
      </c>
      <c r="B17" s="0" t="s">
        <v>743</v>
      </c>
      <c r="C17" s="646" t="n">
        <v>295.064377682403</v>
      </c>
      <c r="D17" s="369" t="n">
        <v>38.0424064751759</v>
      </c>
      <c r="E17" s="369" t="n">
        <v>0.24983822902581</v>
      </c>
      <c r="F17" s="369" t="n">
        <v>0.652912592503258</v>
      </c>
      <c r="G17" s="369" t="n">
        <v>1.92285462120101</v>
      </c>
      <c r="H17" s="369" t="n">
        <v>1.98814588045133</v>
      </c>
      <c r="I17" s="652" t="n">
        <v>40.0305523556273</v>
      </c>
    </row>
    <row r="18" customFormat="false" ht="12.75" hidden="false" customHeight="false" outlineLevel="0" collapsed="false">
      <c r="A18" s="651" t="n">
        <v>36189</v>
      </c>
      <c r="B18" s="0" t="s">
        <v>744</v>
      </c>
      <c r="C18" s="646" t="n">
        <v>307.179484060122</v>
      </c>
      <c r="D18" s="369" t="n">
        <v>39.6211796289236</v>
      </c>
      <c r="E18" s="369" t="n">
        <v>0.0764969823250766</v>
      </c>
      <c r="F18" s="369" t="n">
        <v>0</v>
      </c>
      <c r="G18" s="369" t="n">
        <v>1.57673057023038</v>
      </c>
      <c r="H18" s="369" t="n">
        <v>1.57673057023038</v>
      </c>
      <c r="I18" s="652" t="n">
        <v>41.197910199154</v>
      </c>
    </row>
    <row r="19" customFormat="false" ht="12.75" hidden="false" customHeight="false" outlineLevel="0" collapsed="false">
      <c r="A19" s="651" t="n">
        <v>36189</v>
      </c>
      <c r="B19" s="0" t="s">
        <v>745</v>
      </c>
      <c r="C19" s="646" t="n">
        <v>257.82768300583</v>
      </c>
      <c r="D19" s="369" t="n">
        <v>39.3332330666248</v>
      </c>
      <c r="E19" s="369" t="n">
        <v>0.176558893362085</v>
      </c>
      <c r="F19" s="369" t="n">
        <v>1.35679802350094</v>
      </c>
      <c r="G19" s="369" t="n">
        <v>1.91088958583055</v>
      </c>
      <c r="H19" s="369" t="n">
        <v>2.04656938818064</v>
      </c>
      <c r="I19" s="652" t="n">
        <v>41.3798024548055</v>
      </c>
    </row>
    <row r="20" customFormat="false" ht="12.75" hidden="false" customHeight="false" outlineLevel="0" collapsed="false">
      <c r="A20" s="651" t="n">
        <v>36152</v>
      </c>
      <c r="B20" s="0" t="s">
        <v>746</v>
      </c>
      <c r="C20" s="646" t="n">
        <v>260.07326007326</v>
      </c>
      <c r="D20" s="369" t="n">
        <v>18.729934098754</v>
      </c>
      <c r="E20" s="369" t="n">
        <v>0.604925669459916</v>
      </c>
      <c r="F20" s="369" t="n">
        <v>30.3136912635994</v>
      </c>
      <c r="G20" s="369" t="n">
        <v>5.52676287139457</v>
      </c>
      <c r="H20" s="369" t="n">
        <v>8.55813199775451</v>
      </c>
      <c r="I20" s="652" t="n">
        <v>27.2880660965085</v>
      </c>
    </row>
    <row r="21" customFormat="false" ht="12.75" hidden="false" customHeight="false" outlineLevel="0" collapsed="false">
      <c r="A21" s="651" t="n">
        <v>36123</v>
      </c>
      <c r="B21" s="646" t="s">
        <v>747</v>
      </c>
      <c r="C21" s="646" t="n">
        <v>272.886973626611</v>
      </c>
      <c r="D21" s="369" t="n">
        <v>32.8887326776238</v>
      </c>
      <c r="E21" s="369" t="n">
        <v>0.28689549934565</v>
      </c>
      <c r="F21" s="369" t="n">
        <v>4.16033433262421</v>
      </c>
      <c r="G21" s="369" t="n">
        <v>2.06882110101668</v>
      </c>
      <c r="H21" s="369" t="n">
        <v>2.48485453427911</v>
      </c>
      <c r="I21" s="652" t="n">
        <v>35.3735872119029</v>
      </c>
    </row>
    <row r="22" customFormat="false" ht="12.75" hidden="false" customHeight="false" outlineLevel="0" collapsed="false">
      <c r="A22" s="651" t="n">
        <v>36109</v>
      </c>
      <c r="B22" s="0" t="s">
        <v>748</v>
      </c>
      <c r="C22" s="646" t="n">
        <v>371.864057125402</v>
      </c>
      <c r="D22" s="369" t="n">
        <v>23.8297243907011</v>
      </c>
      <c r="E22" s="369" t="n">
        <v>0.284438200671869</v>
      </c>
      <c r="F22" s="369" t="n">
        <v>21.6836168169397</v>
      </c>
      <c r="G22" s="369" t="n">
        <v>3.75327759192026</v>
      </c>
      <c r="H22" s="369" t="n">
        <v>5.92163927361423</v>
      </c>
      <c r="I22" s="652" t="n">
        <v>29.7513636643154</v>
      </c>
    </row>
    <row r="23" customFormat="false" ht="12.75" hidden="false" customHeight="false" outlineLevel="0" collapsed="false">
      <c r="A23" s="651" t="n">
        <v>36010</v>
      </c>
      <c r="B23" s="0" t="s">
        <v>749</v>
      </c>
      <c r="C23" s="646" t="n">
        <v>950.369588173179</v>
      </c>
      <c r="D23" s="369" t="n">
        <v>19.2722130460489</v>
      </c>
      <c r="E23" s="369" t="n">
        <v>0.696081376902789</v>
      </c>
      <c r="F23" s="369" t="n">
        <v>29.1958302786657</v>
      </c>
      <c r="G23" s="369" t="n">
        <v>5.19836189345834</v>
      </c>
      <c r="H23" s="369" t="n">
        <v>8.11794492132491</v>
      </c>
      <c r="I23" s="652" t="n">
        <v>27.3901579673738</v>
      </c>
    </row>
    <row r="24" customFormat="false" ht="12.75" hidden="false" customHeight="false" outlineLevel="0" collapsed="false">
      <c r="A24" s="651" t="n">
        <v>35942</v>
      </c>
      <c r="B24" s="654" t="s">
        <v>750</v>
      </c>
      <c r="C24" s="646" t="n">
        <v>256.849315068493</v>
      </c>
      <c r="D24" s="369" t="n">
        <v>34.7806069429688</v>
      </c>
      <c r="E24" s="369" t="n">
        <v>0.3356</v>
      </c>
      <c r="F24" s="369" t="n">
        <v>20.0781953853031</v>
      </c>
      <c r="G24" s="369" t="n">
        <v>5.28932047775384</v>
      </c>
      <c r="H24" s="369" t="n">
        <v>7.29714001628415</v>
      </c>
      <c r="I24" s="652" t="n">
        <v>42.0777469592529</v>
      </c>
    </row>
    <row r="25" customFormat="false" ht="12.75" hidden="false" customHeight="false" outlineLevel="0" collapsed="false">
      <c r="A25" s="321"/>
      <c r="C25" s="646"/>
    </row>
    <row r="26" customFormat="false" ht="12.75" hidden="false" customHeight="false" outlineLevel="0" collapsed="false">
      <c r="A26" s="321"/>
      <c r="C26" s="646"/>
    </row>
    <row r="27" customFormat="false" ht="12.75" hidden="false" customHeight="false" outlineLevel="0" collapsed="false">
      <c r="A27" s="321"/>
      <c r="C27" s="646"/>
    </row>
    <row r="28" customFormat="false" ht="12.75" hidden="false" customHeight="false" outlineLevel="0" collapsed="false">
      <c r="A28" s="321"/>
      <c r="C28" s="646"/>
    </row>
    <row r="29" customFormat="false" ht="12.75" hidden="false" customHeight="false" outlineLevel="0" collapsed="false">
      <c r="A29" s="321"/>
      <c r="B29" s="28" t="s">
        <v>751</v>
      </c>
      <c r="C29" s="655" t="n">
        <v>200</v>
      </c>
    </row>
    <row r="30" customFormat="false" ht="12.75" hidden="false" customHeight="false" outlineLevel="0" collapsed="false">
      <c r="A30" s="321"/>
      <c r="B30" s="28" t="s">
        <v>752</v>
      </c>
      <c r="C30" s="655" t="n">
        <v>2000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85"/>
    <col collapsed="false" customWidth="true" hidden="false" outlineLevel="0" max="2" min="2" style="0" width="10.41"/>
    <col collapsed="false" customWidth="true" hidden="false" outlineLevel="0" max="7" min="3" style="0" width="10.28"/>
  </cols>
  <sheetData>
    <row r="1" customFormat="false" ht="15.75" hidden="false" customHeight="false" outlineLevel="0" collapsed="false">
      <c r="A1" s="358" t="str">
        <f aca="false">'Segment Fin Proj'!A1</f>
        <v>Cat</v>
      </c>
      <c r="C1" s="27"/>
    </row>
    <row r="2" customFormat="false" ht="12.75" hidden="false" customHeight="false" outlineLevel="0" collapsed="false">
      <c r="A2" s="28" t="str">
        <f aca="false">'Segment Fin Proj'!A2</f>
        <v>Financials</v>
      </c>
      <c r="C2" s="27"/>
    </row>
    <row r="3" customFormat="false" ht="12.75" hidden="false" customHeight="false" outlineLevel="0" collapsed="false">
      <c r="A3" s="0" t="str">
        <f aca="false">'Segment Fin Proj'!A3</f>
        <v>($'s in millions)</v>
      </c>
      <c r="C3" s="27"/>
    </row>
    <row r="4" customFormat="false" ht="15.75" hidden="false" customHeight="false" outlineLevel="0" collapsed="false">
      <c r="A4" s="390"/>
      <c r="B4" s="390"/>
      <c r="C4" s="425"/>
      <c r="D4" s="425"/>
      <c r="E4" s="425"/>
      <c r="F4" s="390"/>
      <c r="G4" s="390"/>
    </row>
    <row r="5" customFormat="false" ht="12.75" hidden="false" customHeight="false" outlineLevel="0" collapsed="false">
      <c r="C5" s="450" t="str">
        <f aca="false">'Segment Fin Proj'!AR5</f>
        <v>Pro Forma</v>
      </c>
      <c r="E5" s="363" t="str">
        <f aca="false">'Segment Fin Proj'!AT5</f>
        <v>LTM</v>
      </c>
    </row>
    <row r="6" customFormat="false" ht="12.75" hidden="false" customHeight="false" outlineLevel="0" collapsed="false">
      <c r="A6" s="28"/>
      <c r="B6" s="656" t="str">
        <f aca="false">'Segment Fin Proj'!AQ6</f>
        <v>Adjustment</v>
      </c>
      <c r="C6" s="657" t="n">
        <f aca="false">'Segment Fin Proj'!AR6</f>
        <v>1997</v>
      </c>
      <c r="D6" s="657" t="n">
        <f aca="false">'Segment Fin Proj'!AS6</f>
        <v>1998</v>
      </c>
      <c r="E6" s="657" t="n">
        <f aca="false">'Segment Fin Proj'!AT6</f>
        <v>1999</v>
      </c>
      <c r="F6" s="657" t="n">
        <f aca="false">'Segment Fin Proj'!AU6</f>
        <v>1999</v>
      </c>
      <c r="G6" s="657" t="n">
        <f aca="false">'Segment Fin Proj'!AV6</f>
        <v>2000</v>
      </c>
    </row>
    <row r="7" customFormat="false" ht="12.75" hidden="false" customHeight="false" outlineLevel="0" collapsed="false">
      <c r="C7" s="27"/>
    </row>
    <row r="8" customFormat="false" ht="12.75" hidden="false" customHeight="false" outlineLevel="0" collapsed="false">
      <c r="A8" s="28" t="str">
        <f aca="false">'Segment Fin Proj'!A8</f>
        <v>Electric Revenues </v>
      </c>
      <c r="C8" s="27"/>
    </row>
    <row r="9" customFormat="false" ht="12.75" hidden="false" customHeight="false" outlineLevel="0" collapsed="false">
      <c r="A9" s="0" t="s">
        <v>753</v>
      </c>
      <c r="B9" s="324"/>
      <c r="C9" s="451" t="n">
        <f aca="false">'Segment Fin Proj'!AR16</f>
        <v>2257.014166</v>
      </c>
      <c r="D9" s="451" t="n">
        <f aca="false">'Segment Fin Proj'!AS16</f>
        <v>2373.137029</v>
      </c>
      <c r="E9" s="451" t="n">
        <f aca="false">'Segment Fin Proj'!AT16</f>
        <v>2652.58792482142</v>
      </c>
      <c r="F9" s="451" t="n">
        <f aca="false">'Segment Fin Proj'!AU16</f>
        <v>2407.3758118174</v>
      </c>
      <c r="G9" s="451" t="n">
        <f aca="false">'Segment Fin Proj'!AV16</f>
        <v>2421.81594891673</v>
      </c>
    </row>
    <row r="10" customFormat="false" ht="12.75" hidden="false" customHeight="false" outlineLevel="0" collapsed="false">
      <c r="A10" s="0" t="str">
        <f aca="false">'Segment Fin Proj'!A18</f>
        <v>Wholesale sales</v>
      </c>
      <c r="B10" s="658"/>
      <c r="C10" s="451" t="n">
        <f aca="false">'Segment Fin Proj'!AR18</f>
        <v>1557.139093</v>
      </c>
      <c r="D10" s="451" t="n">
        <f aca="false">'Segment Fin Proj'!AS18</f>
        <v>2391.176092</v>
      </c>
      <c r="E10" s="451" t="n">
        <f aca="false">'Segment Fin Proj'!AT18</f>
        <v>2667.89976422539</v>
      </c>
      <c r="F10" s="451" t="n">
        <f aca="false">'Segment Fin Proj'!AU18</f>
        <v>2476.8399754959</v>
      </c>
      <c r="G10" s="451" t="n">
        <f aca="false">'Segment Fin Proj'!AV18</f>
        <v>2565.57276761804</v>
      </c>
    </row>
    <row r="11" customFormat="false" ht="12.75" hidden="false" customHeight="false" outlineLevel="0" collapsed="false">
      <c r="A11" s="0" t="str">
        <f aca="false">'Segment Fin Proj'!A19</f>
        <v>Provision for rate refund</v>
      </c>
      <c r="B11" s="658"/>
      <c r="C11" s="451" t="n">
        <f aca="false">'Segment Fin Proj'!AR19</f>
        <v>3.871847</v>
      </c>
      <c r="D11" s="451" t="n">
        <f aca="false">'Segment Fin Proj'!AS19</f>
        <v>-4.464003</v>
      </c>
      <c r="E11" s="451" t="n">
        <f aca="false">'Segment Fin Proj'!AT19</f>
        <v>-4.52740446624236</v>
      </c>
      <c r="F11" s="451" t="n">
        <f aca="false">'Segment Fin Proj'!AU19</f>
        <v>0</v>
      </c>
      <c r="G11" s="451" t="n">
        <f aca="false">'Segment Fin Proj'!AV19</f>
        <v>0</v>
      </c>
    </row>
    <row r="12" customFormat="false" ht="15" hidden="false" customHeight="false" outlineLevel="0" collapsed="false">
      <c r="A12" s="0" t="str">
        <f aca="false">'Segment Fin Proj'!A20</f>
        <v>Other</v>
      </c>
      <c r="B12" s="658"/>
      <c r="C12" s="659" t="n">
        <f aca="false">'Segment Fin Proj'!AR20</f>
        <v>48.575392</v>
      </c>
      <c r="D12" s="659" t="n">
        <f aca="false">'Segment Fin Proj'!AS20</f>
        <v>50.648492</v>
      </c>
      <c r="E12" s="659" t="n">
        <f aca="false">'Segment Fin Proj'!AT20</f>
        <v>54.3242614194313</v>
      </c>
      <c r="F12" s="660" t="n">
        <f aca="false">'Segment Fin Proj'!AU20</f>
        <v>51.66146184</v>
      </c>
      <c r="G12" s="660" t="n">
        <f aca="false">'Segment Fin Proj'!AV20</f>
        <v>52.6946910768</v>
      </c>
    </row>
    <row r="13" customFormat="false" ht="13.5" hidden="false" customHeight="false" outlineLevel="0" collapsed="false">
      <c r="B13" s="661"/>
      <c r="C13" s="662" t="n">
        <f aca="false">'Segment Fin Proj'!AR25</f>
        <v>3868.526949</v>
      </c>
      <c r="D13" s="662" t="n">
        <f aca="false">'Segment Fin Proj'!AS25</f>
        <v>4810.497546</v>
      </c>
      <c r="E13" s="662" t="n">
        <f aca="false">'Segment Fin Proj'!AT25</f>
        <v>5370.284546</v>
      </c>
      <c r="F13" s="662" t="n">
        <f aca="false">'Segment Fin Proj'!AU25</f>
        <v>4981.1097031533</v>
      </c>
      <c r="G13" s="662" t="n">
        <f aca="false">'Segment Fin Proj'!AV25</f>
        <v>5085.31586161157</v>
      </c>
    </row>
    <row r="14" customFormat="false" ht="13.5" hidden="false" customHeight="false" outlineLevel="0" collapsed="false">
      <c r="B14" s="451"/>
      <c r="C14" s="451"/>
      <c r="D14" s="451"/>
      <c r="E14" s="451"/>
    </row>
    <row r="15" customFormat="false" ht="13.5" hidden="false" customHeight="false" outlineLevel="0" collapsed="false">
      <c r="A15" s="28" t="str">
        <f aca="false">'Segment Fin Proj'!A60</f>
        <v>Gas Revenues</v>
      </c>
      <c r="B15" s="661"/>
      <c r="C15" s="662" t="n">
        <f aca="false">'Segment Fin Proj'!AR63</f>
        <v>495.62</v>
      </c>
      <c r="D15" s="662" t="n">
        <f aca="false">'Segment Fin Proj'!AS63</f>
        <v>403.431</v>
      </c>
      <c r="E15" s="662" t="n">
        <f aca="false">'Segment Fin Proj'!AT63</f>
        <v>435.354</v>
      </c>
      <c r="F15" s="662" t="n">
        <f aca="false">'Segment Fin Proj'!AU63</f>
        <v>411.49962</v>
      </c>
      <c r="G15" s="662" t="n">
        <f aca="false">'Segment Fin Proj'!AV63</f>
        <v>419.7296124</v>
      </c>
    </row>
    <row r="16" customFormat="false" ht="13.5" hidden="false" customHeight="false" outlineLevel="0" collapsed="false">
      <c r="B16" s="324"/>
      <c r="C16" s="451"/>
      <c r="D16" s="451"/>
      <c r="E16" s="451"/>
    </row>
    <row r="17" customFormat="false" ht="13.5" hidden="false" customHeight="false" outlineLevel="0" collapsed="false">
      <c r="A17" s="28" t="s">
        <v>754</v>
      </c>
      <c r="B17" s="661"/>
      <c r="C17" s="663" t="n">
        <f aca="false">'Segment Fin Proj'!AR68</f>
        <v>4364.146949</v>
      </c>
      <c r="D17" s="663" t="n">
        <f aca="false">'Segment Fin Proj'!AS68</f>
        <v>5213.928546</v>
      </c>
      <c r="E17" s="663" t="n">
        <f aca="false">'Segment Fin Proj'!AT68</f>
        <v>5805.638546</v>
      </c>
      <c r="F17" s="663" t="n">
        <f aca="false">'Segment Fin Proj'!AU68</f>
        <v>5392.6093231533</v>
      </c>
      <c r="G17" s="663" t="n">
        <f aca="false">'Segment Fin Proj'!AV68</f>
        <v>5505.04547401157</v>
      </c>
    </row>
    <row r="18" customFormat="false" ht="13.5" hidden="false" customHeight="false" outlineLevel="0" collapsed="false">
      <c r="B18" s="661"/>
      <c r="C18" s="664"/>
      <c r="D18" s="664"/>
      <c r="E18" s="664"/>
      <c r="F18" s="664"/>
      <c r="G18" s="664"/>
    </row>
    <row r="19" customFormat="false" ht="12.75" hidden="false" customHeight="false" outlineLevel="0" collapsed="false">
      <c r="B19" s="324"/>
      <c r="C19" s="451"/>
      <c r="D19" s="324"/>
    </row>
    <row r="20" customFormat="false" ht="12.75" hidden="false" customHeight="false" outlineLevel="0" collapsed="false">
      <c r="A20" s="28" t="str">
        <f aca="false">'Segment Fin Proj'!A71</f>
        <v>Cost of Goods Sold</v>
      </c>
      <c r="B20" s="324"/>
      <c r="C20" s="451"/>
      <c r="D20" s="324"/>
      <c r="E20" s="324"/>
    </row>
    <row r="21" customFormat="false" ht="12.75" hidden="false" customHeight="false" outlineLevel="0" collapsed="false">
      <c r="A21" s="0" t="str">
        <f aca="false">'Segment Fin Proj'!A72</f>
        <v>Fuel for electric generation</v>
      </c>
      <c r="B21" s="658"/>
      <c r="C21" s="451" t="n">
        <f aca="false">'Segment Fin Proj'!AR72</f>
        <v>693</v>
      </c>
      <c r="D21" s="451" t="n">
        <f aca="false">'Segment Fin Proj'!AS72</f>
        <v>721</v>
      </c>
      <c r="E21" s="451" t="n">
        <f aca="false">'Segment Fin Proj'!AT72</f>
        <v>1391.066</v>
      </c>
      <c r="F21" s="665" t="n">
        <f aca="false">'Segment Fin Proj'!AU72</f>
        <v>721</v>
      </c>
      <c r="G21" s="665" t="n">
        <f aca="false">'Segment Fin Proj'!AV72</f>
        <v>721</v>
      </c>
    </row>
    <row r="22" customFormat="false" ht="12.75" hidden="false" customHeight="false" outlineLevel="0" collapsed="false">
      <c r="A22" s="0" t="str">
        <f aca="false">'Segment Fin Proj'!A73</f>
        <v>Power purchased</v>
      </c>
      <c r="B22" s="658"/>
      <c r="C22" s="451" t="n">
        <f aca="false">'Segment Fin Proj'!AR73</f>
        <v>1262</v>
      </c>
      <c r="D22" s="451" t="n">
        <f aca="false">'Segment Fin Proj'!AS73</f>
        <v>2234</v>
      </c>
      <c r="E22" s="451" t="n">
        <f aca="false">'Segment Fin Proj'!AT73</f>
        <v>2030.328</v>
      </c>
      <c r="F22" s="665" t="n">
        <f aca="false">'Segment Fin Proj'!AU73</f>
        <v>2234</v>
      </c>
      <c r="G22" s="665" t="n">
        <f aca="false">'Segment Fin Proj'!AV73</f>
        <v>2234</v>
      </c>
    </row>
    <row r="23" customFormat="false" ht="15" hidden="false" customHeight="false" outlineLevel="0" collapsed="false">
      <c r="A23" s="0" t="str">
        <f aca="false">'Segment Fin Proj'!A74</f>
        <v>Gas supply expenses</v>
      </c>
      <c r="B23" s="660"/>
      <c r="C23" s="660" t="n">
        <f aca="false">'Segment Fin Proj'!AR74</f>
        <v>266.123</v>
      </c>
      <c r="D23" s="660" t="n">
        <f aca="false">'Segment Fin Proj'!AS74</f>
        <v>199.683</v>
      </c>
      <c r="E23" s="660" t="n">
        <f aca="false">'Segment Fin Proj'!AT74</f>
        <v>180.744</v>
      </c>
      <c r="F23" s="666" t="n">
        <f aca="false">'Segment Fin Proj'!AU74</f>
        <v>199.683</v>
      </c>
      <c r="G23" s="666" t="n">
        <f aca="false">'Segment Fin Proj'!AV74</f>
        <v>199.683</v>
      </c>
    </row>
    <row r="24" customFormat="false" ht="15" hidden="false" customHeight="false" outlineLevel="0" collapsed="false">
      <c r="B24" s="660"/>
      <c r="C24" s="451" t="n">
        <f aca="false">'Segment Fin Proj'!AR77</f>
        <v>2221.123</v>
      </c>
      <c r="D24" s="451" t="n">
        <f aca="false">'Segment Fin Proj'!AS77</f>
        <v>3154.683</v>
      </c>
      <c r="E24" s="451" t="n">
        <f aca="false">'Segment Fin Proj'!AT77</f>
        <v>3602.138</v>
      </c>
      <c r="F24" s="451" t="n">
        <f aca="false">'Segment Fin Proj'!AU77</f>
        <v>3154.683</v>
      </c>
      <c r="G24" s="451" t="n">
        <f aca="false">'Segment Fin Proj'!AV77</f>
        <v>3154.683</v>
      </c>
    </row>
    <row r="25" customFormat="false" ht="15" hidden="false" customHeight="false" outlineLevel="0" collapsed="false">
      <c r="B25" s="660"/>
      <c r="C25" s="451"/>
      <c r="D25" s="451"/>
      <c r="E25" s="451"/>
    </row>
    <row r="26" customFormat="false" ht="12.75" hidden="false" customHeight="false" outlineLevel="0" collapsed="false">
      <c r="A26" s="28" t="str">
        <f aca="false">'Segment Fin Proj'!A79</f>
        <v>Operating Expenses</v>
      </c>
      <c r="B26" s="324"/>
      <c r="C26" s="451"/>
      <c r="D26" s="324"/>
      <c r="E26" s="324"/>
    </row>
    <row r="27" customFormat="false" ht="12.75" hidden="false" customHeight="false" outlineLevel="0" collapsed="false">
      <c r="A27" s="0" t="str">
        <f aca="false">'Segment Fin Proj'!A80</f>
        <v>Electric</v>
      </c>
      <c r="B27" s="658"/>
      <c r="C27" s="451" t="n">
        <f aca="false">'Segment Fin Proj'!AR80</f>
        <v>584.591312661553</v>
      </c>
      <c r="D27" s="451" t="n">
        <f aca="false">'Segment Fin Proj'!AS80</f>
        <v>642.305953492147</v>
      </c>
      <c r="E27" s="451" t="n">
        <f aca="false">'Segment Fin Proj'!AT80</f>
        <v>593.591449305358</v>
      </c>
      <c r="F27" s="665" t="n">
        <f aca="false">'Segment Fin Proj'!AU80</f>
        <v>629.459834422304</v>
      </c>
      <c r="G27" s="665" t="n">
        <f aca="false">'Segment Fin Proj'!AV80</f>
        <v>616.870637733858</v>
      </c>
    </row>
    <row r="28" customFormat="false" ht="12.75" hidden="false" customHeight="false" outlineLevel="0" collapsed="false">
      <c r="A28" s="0" t="str">
        <f aca="false">'Segment Fin Proj'!A81</f>
        <v>Gas</v>
      </c>
      <c r="B28" s="324"/>
      <c r="C28" s="451" t="n">
        <f aca="false">'Segment Fin Proj'!AR81</f>
        <v>68.5256873384468</v>
      </c>
      <c r="D28" s="451" t="n">
        <f aca="false">'Segment Fin Proj'!AS81</f>
        <v>66.6940465078528</v>
      </c>
      <c r="E28" s="451" t="n">
        <f aca="false">'Segment Fin Proj'!AT81</f>
        <v>53.5775506946417</v>
      </c>
      <c r="F28" s="665" t="n">
        <f aca="false">'Segment Fin Proj'!AU81</f>
        <v>65.3601655776957</v>
      </c>
      <c r="G28" s="665" t="n">
        <f aca="false">'Segment Fin Proj'!AV81</f>
        <v>64.0529622661418</v>
      </c>
    </row>
    <row r="29" customFormat="false" ht="15" hidden="false" customHeight="false" outlineLevel="0" collapsed="false">
      <c r="A29" s="0" t="str">
        <f aca="false">'Segment Fin Proj'!A82</f>
        <v>Other</v>
      </c>
      <c r="B29" s="324"/>
      <c r="C29" s="660" t="n">
        <f aca="false">'Segment Fin Proj'!AR82</f>
        <v>0</v>
      </c>
      <c r="D29" s="660" t="n">
        <f aca="false">'Segment Fin Proj'!AS82</f>
        <v>0</v>
      </c>
      <c r="E29" s="660" t="n">
        <f aca="false">'Segment Fin Proj'!AT82</f>
        <v>0</v>
      </c>
      <c r="F29" s="666" t="n">
        <f aca="false">'Segment Fin Proj'!AU82</f>
        <v>0</v>
      </c>
      <c r="G29" s="666" t="n">
        <f aca="false">'Segment Fin Proj'!AV82</f>
        <v>0</v>
      </c>
    </row>
    <row r="30" customFormat="false" ht="12.75" hidden="false" customHeight="false" outlineLevel="0" collapsed="false">
      <c r="B30" s="324"/>
      <c r="C30" s="324" t="n">
        <f aca="false">'Segment Fin Proj'!AR83</f>
        <v>653.117</v>
      </c>
      <c r="D30" s="324" t="n">
        <f aca="false">'Segment Fin Proj'!AS83</f>
        <v>709</v>
      </c>
      <c r="E30" s="324" t="n">
        <f aca="false">'Segment Fin Proj'!AT83</f>
        <v>647.169</v>
      </c>
      <c r="F30" s="324" t="n">
        <f aca="false">'Segment Fin Proj'!AU83</f>
        <v>694.82</v>
      </c>
      <c r="G30" s="324" t="n">
        <f aca="false">'Segment Fin Proj'!AV83</f>
        <v>680.9236</v>
      </c>
    </row>
    <row r="31" customFormat="false" ht="12.75" hidden="false" customHeight="false" outlineLevel="0" collapsed="false">
      <c r="A31" s="28" t="str">
        <f aca="false">'Segment Fin Proj'!A84</f>
        <v>Maintenance</v>
      </c>
      <c r="B31" s="324"/>
      <c r="C31" s="451"/>
      <c r="D31" s="324"/>
      <c r="E31" s="324"/>
    </row>
    <row r="32" customFormat="false" ht="12.75" hidden="false" customHeight="false" outlineLevel="0" collapsed="false">
      <c r="A32" s="0" t="str">
        <f aca="false">'Segment Fin Proj'!A85</f>
        <v>Electric</v>
      </c>
      <c r="B32" s="324"/>
      <c r="C32" s="451" t="n">
        <f aca="false">'Segment Fin Proj'!AR85</f>
        <v>164.845367</v>
      </c>
      <c r="D32" s="451" t="n">
        <f aca="false">'Segment Fin Proj'!AS85</f>
        <v>180.7283</v>
      </c>
      <c r="E32" s="451" t="n">
        <f aca="false">'Segment Fin Proj'!AT85</f>
        <v>211.12596688172</v>
      </c>
      <c r="F32" s="665" t="n">
        <f aca="false">'Segment Fin Proj'!AU85</f>
        <v>177.113734</v>
      </c>
      <c r="G32" s="665" t="n">
        <f aca="false">'Segment Fin Proj'!AV85</f>
        <v>173.57145932</v>
      </c>
    </row>
    <row r="33" customFormat="false" ht="12.75" hidden="false" customHeight="false" outlineLevel="0" collapsed="false">
      <c r="A33" s="0" t="str">
        <f aca="false">'Segment Fin Proj'!A86</f>
        <v>Gas</v>
      </c>
      <c r="B33" s="324"/>
      <c r="C33" s="451" t="n">
        <f aca="false">'Segment Fin Proj'!AR86</f>
        <v>5.782816</v>
      </c>
      <c r="D33" s="451" t="n">
        <f aca="false">'Segment Fin Proj'!AS86</f>
        <v>6.208175</v>
      </c>
      <c r="E33" s="451" t="n">
        <f aca="false">'Segment Fin Proj'!AT86</f>
        <v>7.54326639784946</v>
      </c>
      <c r="F33" s="665" t="n">
        <f aca="false">'Segment Fin Proj'!AU86</f>
        <v>6.0840115</v>
      </c>
      <c r="G33" s="665" t="n">
        <f aca="false">'Segment Fin Proj'!AV86</f>
        <v>5.96233127</v>
      </c>
    </row>
    <row r="34" customFormat="false" ht="15" hidden="false" customHeight="false" outlineLevel="0" collapsed="false">
      <c r="A34" s="0" t="str">
        <f aca="false">'Segment Fin Proj'!A87</f>
        <v>Other</v>
      </c>
      <c r="B34" s="324"/>
      <c r="C34" s="660" t="n">
        <f aca="false">'Segment Fin Proj'!AR87</f>
        <v>5.84327499999999</v>
      </c>
      <c r="D34" s="660" t="n">
        <f aca="false">'Segment Fin Proj'!AS87</f>
        <v>5.892674</v>
      </c>
      <c r="E34" s="660" t="n">
        <f aca="false">'Segment Fin Proj'!AT87</f>
        <v>7.1599157204301</v>
      </c>
      <c r="F34" s="666" t="n">
        <f aca="false">'Segment Fin Proj'!AU87</f>
        <v>5.77482052</v>
      </c>
      <c r="G34" s="666" t="n">
        <f aca="false">'Segment Fin Proj'!AV87</f>
        <v>5.6593241096</v>
      </c>
    </row>
    <row r="35" customFormat="false" ht="12.75" hidden="false" customHeight="false" outlineLevel="0" collapsed="false">
      <c r="B35" s="324"/>
      <c r="C35" s="324" t="n">
        <f aca="false">'Segment Fin Proj'!AR88</f>
        <v>176.471458</v>
      </c>
      <c r="D35" s="324" t="n">
        <f aca="false">'Segment Fin Proj'!AS88</f>
        <v>192.829149</v>
      </c>
      <c r="E35" s="324" t="n">
        <f aca="false">'Segment Fin Proj'!AT88</f>
        <v>225.829149</v>
      </c>
      <c r="F35" s="324" t="n">
        <f aca="false">'Segment Fin Proj'!AU88</f>
        <v>188.97256602</v>
      </c>
      <c r="G35" s="324" t="n">
        <f aca="false">'Segment Fin Proj'!AV88</f>
        <v>185.1931146996</v>
      </c>
    </row>
    <row r="36" customFormat="false" ht="12.75" hidden="false" customHeight="false" outlineLevel="0" collapsed="false">
      <c r="A36" s="28" t="str">
        <f aca="false">'Segment Fin Proj'!A89</f>
        <v>DD&amp;A</v>
      </c>
      <c r="B36" s="324"/>
      <c r="C36" s="451"/>
      <c r="D36" s="324"/>
      <c r="E36" s="324"/>
      <c r="F36" s="324"/>
      <c r="G36" s="324"/>
    </row>
    <row r="37" customFormat="false" ht="12.75" hidden="false" customHeight="false" outlineLevel="0" collapsed="false">
      <c r="A37" s="0" t="str">
        <f aca="false">'Segment Fin Proj'!A90</f>
        <v>Electric</v>
      </c>
      <c r="B37" s="324"/>
      <c r="C37" s="451" t="n">
        <f aca="false">'Segment Fin Proj'!AR90</f>
        <v>279.993191</v>
      </c>
      <c r="D37" s="451" t="n">
        <f aca="false">'Segment Fin Proj'!AS90</f>
        <v>297.043278</v>
      </c>
      <c r="E37" s="451" t="n">
        <f aca="false">'Segment Fin Proj'!AT90</f>
        <v>305.073115555742</v>
      </c>
      <c r="F37" s="665" t="n">
        <f aca="false">'Segment Fin Proj'!AU90</f>
        <v>297.043278</v>
      </c>
      <c r="G37" s="665" t="n">
        <f aca="false">'Segment Fin Proj'!AV90</f>
        <v>297.043278</v>
      </c>
    </row>
    <row r="38" customFormat="false" ht="12.75" hidden="false" customHeight="false" outlineLevel="0" collapsed="false">
      <c r="A38" s="0" t="str">
        <f aca="false">'Segment Fin Proj'!A91</f>
        <v>Gas</v>
      </c>
      <c r="B38" s="658"/>
      <c r="C38" s="451" t="n">
        <f aca="false">'Segment Fin Proj'!AR91</f>
        <v>17.349835</v>
      </c>
      <c r="D38" s="451" t="n">
        <f aca="false">'Segment Fin Proj'!AS91</f>
        <v>17.872567</v>
      </c>
      <c r="E38" s="451" t="n">
        <f aca="false">'Segment Fin Proj'!AT91</f>
        <v>18.4043233064115</v>
      </c>
      <c r="F38" s="665" t="n">
        <f aca="false">'Segment Fin Proj'!AU91</f>
        <v>17.872567</v>
      </c>
      <c r="G38" s="665" t="n">
        <f aca="false">'Segment Fin Proj'!AV91</f>
        <v>17.872567</v>
      </c>
    </row>
    <row r="39" customFormat="false" ht="15" hidden="false" customHeight="false" outlineLevel="0" collapsed="false">
      <c r="A39" s="0" t="str">
        <f aca="false">'Segment Fin Proj'!A92</f>
        <v>Other</v>
      </c>
      <c r="B39" s="658"/>
      <c r="C39" s="660" t="n">
        <f aca="false">'Segment Fin Proj'!AR92</f>
        <v>9.57897399999999</v>
      </c>
      <c r="D39" s="660" t="n">
        <f aca="false">'Segment Fin Proj'!AS92</f>
        <v>6.797155</v>
      </c>
      <c r="E39" s="660" t="n">
        <f aca="false">'Segment Fin Proj'!AT92</f>
        <v>7.04056113784663</v>
      </c>
      <c r="F39" s="666" t="n">
        <f aca="false">'Segment Fin Proj'!AU92</f>
        <v>6.797155</v>
      </c>
      <c r="G39" s="666" t="n">
        <f aca="false">'Segment Fin Proj'!AV92</f>
        <v>6.797155</v>
      </c>
    </row>
    <row r="40" customFormat="false" ht="12.75" hidden="false" customHeight="false" outlineLevel="0" collapsed="false">
      <c r="B40" s="324"/>
      <c r="C40" s="324" t="n">
        <f aca="false">'Segment Fin Proj'!AR93</f>
        <v>306.922</v>
      </c>
      <c r="D40" s="324" t="n">
        <f aca="false">'Segment Fin Proj'!AS93</f>
        <v>321.713</v>
      </c>
      <c r="E40" s="324" t="n">
        <f aca="false">'Segment Fin Proj'!AT93</f>
        <v>330.518</v>
      </c>
      <c r="F40" s="324" t="n">
        <f aca="false">'Segment Fin Proj'!AU93</f>
        <v>321.713</v>
      </c>
      <c r="G40" s="324" t="n">
        <f aca="false">'Segment Fin Proj'!AV93</f>
        <v>321.713</v>
      </c>
    </row>
    <row r="41" customFormat="false" ht="12.75" hidden="false" customHeight="false" outlineLevel="0" collapsed="false">
      <c r="A41" s="28" t="str">
        <f aca="false">'Segment Fin Proj'!A94</f>
        <v>Property &amp; Other Taxes</v>
      </c>
      <c r="B41" s="324"/>
      <c r="C41" s="451"/>
      <c r="D41" s="324"/>
      <c r="E41" s="324"/>
      <c r="F41" s="324"/>
      <c r="G41" s="324"/>
    </row>
    <row r="42" customFormat="false" ht="12.75" hidden="false" customHeight="false" outlineLevel="0" collapsed="false">
      <c r="A42" s="27" t="str">
        <f aca="false">'Segment Fin Proj'!A95</f>
        <v>Electric</v>
      </c>
      <c r="B42" s="658"/>
      <c r="C42" s="451" t="n">
        <f aca="false">'Segment Fin Proj'!AR95</f>
        <v>214.066464</v>
      </c>
      <c r="D42" s="451" t="n">
        <f aca="false">'Segment Fin Proj'!AS95</f>
        <v>219.582665</v>
      </c>
      <c r="E42" s="451" t="n">
        <f aca="false">'Segment Fin Proj'!AT95</f>
        <v>219.311454591706</v>
      </c>
      <c r="F42" s="665" t="n">
        <f aca="false">'Segment Fin Proj'!AU95</f>
        <v>219.582665</v>
      </c>
      <c r="G42" s="665" t="n">
        <f aca="false">'Segment Fin Proj'!AV95</f>
        <v>219.582665</v>
      </c>
    </row>
    <row r="43" customFormat="false" ht="12.75" hidden="false" customHeight="false" outlineLevel="0" collapsed="false">
      <c r="A43" s="0" t="str">
        <f aca="false">'Segment Fin Proj'!A96</f>
        <v>Gas</v>
      </c>
      <c r="B43" s="324"/>
      <c r="C43" s="451" t="n">
        <f aca="false">'Segment Fin Proj'!AR96</f>
        <v>46.537624</v>
      </c>
      <c r="D43" s="451" t="n">
        <f aca="false">'Segment Fin Proj'!AS96</f>
        <v>48.302554</v>
      </c>
      <c r="E43" s="451" t="n">
        <f aca="false">'Segment Fin Proj'!AT96</f>
        <v>48.4330228836562</v>
      </c>
      <c r="F43" s="665" t="n">
        <f aca="false">'Segment Fin Proj'!AU96</f>
        <v>48.302554</v>
      </c>
      <c r="G43" s="665" t="n">
        <f aca="false">'Segment Fin Proj'!AV96</f>
        <v>48.302554</v>
      </c>
    </row>
    <row r="44" customFormat="false" ht="15" hidden="false" customHeight="false" outlineLevel="0" collapsed="false">
      <c r="A44" s="0" t="str">
        <f aca="false">'Segment Fin Proj'!A97</f>
        <v>Other</v>
      </c>
      <c r="B44" s="658"/>
      <c r="C44" s="660" t="n">
        <f aca="false">'Segment Fin Proj'!AR97</f>
        <v>4.41962599999999</v>
      </c>
      <c r="D44" s="660" t="n">
        <f aca="false">'Segment Fin Proj'!AS97</f>
        <v>4.34697999999999</v>
      </c>
      <c r="E44" s="660" t="n">
        <f aca="false">'Segment Fin Proj'!AT97</f>
        <v>4.35872152463812</v>
      </c>
      <c r="F44" s="666" t="n">
        <f aca="false">'Segment Fin Proj'!AU97</f>
        <v>4.34697999999999</v>
      </c>
      <c r="G44" s="666" t="n">
        <f aca="false">'Segment Fin Proj'!AV97</f>
        <v>4.34697999999999</v>
      </c>
    </row>
    <row r="45" customFormat="false" ht="12.75" hidden="false" customHeight="false" outlineLevel="0" collapsed="false">
      <c r="B45" s="324"/>
      <c r="C45" s="451" t="n">
        <f aca="false">'Segment Fin Proj'!AR98</f>
        <v>265.023714</v>
      </c>
      <c r="D45" s="451" t="n">
        <f aca="false">'Segment Fin Proj'!AS98</f>
        <v>272.232199</v>
      </c>
      <c r="E45" s="451" t="n">
        <f aca="false">'Segment Fin Proj'!AT98</f>
        <v>272.103199</v>
      </c>
      <c r="F45" s="451" t="n">
        <f aca="false">'Segment Fin Proj'!AU98</f>
        <v>272.232199</v>
      </c>
      <c r="G45" s="451" t="n">
        <f aca="false">'Segment Fin Proj'!AV98</f>
        <v>272.232199</v>
      </c>
    </row>
    <row r="46" customFormat="false" ht="12.75" hidden="false" customHeight="false" outlineLevel="0" collapsed="false">
      <c r="A46" s="28" t="str">
        <f aca="false">'Segment Fin Proj'!A104</f>
        <v>EBIT</v>
      </c>
      <c r="B46" s="324"/>
      <c r="C46" s="451"/>
      <c r="D46" s="324"/>
      <c r="E46" s="324"/>
      <c r="F46" s="324"/>
      <c r="G46" s="324"/>
    </row>
    <row r="47" customFormat="false" ht="12.75" hidden="false" customHeight="false" outlineLevel="0" collapsed="false">
      <c r="A47" s="0" t="str">
        <f aca="false">'Segment Fin Proj'!A105</f>
        <v>Electric</v>
      </c>
      <c r="B47" s="324"/>
      <c r="C47" s="324" t="n">
        <f aca="false">'Segment Fin Proj'!AR105</f>
        <v>670.030614338447</v>
      </c>
      <c r="D47" s="324" t="n">
        <f aca="false">'Segment Fin Proj'!AS105</f>
        <v>515.837349507853</v>
      </c>
      <c r="E47" s="324" t="n">
        <f aca="false">'Segment Fin Proj'!AT105</f>
        <v>619.788559665475</v>
      </c>
      <c r="F47" s="324" t="n">
        <f aca="false">'Segment Fin Proj'!AU105</f>
        <v>702.910191730993</v>
      </c>
      <c r="G47" s="324" t="n">
        <f aca="false">'Segment Fin Proj'!AV105</f>
        <v>823.247821557709</v>
      </c>
    </row>
    <row r="48" customFormat="false" ht="12.75" hidden="false" customHeight="false" outlineLevel="0" collapsed="false">
      <c r="A48" s="0" t="str">
        <f aca="false">'Segment Fin Proj'!A106</f>
        <v>Gas</v>
      </c>
      <c r="B48" s="324"/>
      <c r="C48" s="324" t="n">
        <f aca="false">'Segment Fin Proj'!AR106</f>
        <v>91.3010376615533</v>
      </c>
      <c r="D48" s="324" t="n">
        <f aca="false">'Segment Fin Proj'!AS106</f>
        <v>64.6706574921472</v>
      </c>
      <c r="E48" s="324" t="n">
        <f aca="false">'Segment Fin Proj'!AT106</f>
        <v>126.651836717441</v>
      </c>
      <c r="F48" s="324" t="n">
        <f aca="false">'Segment Fin Proj'!AU106</f>
        <v>74.1973219223043</v>
      </c>
      <c r="G48" s="324" t="n">
        <f aca="false">'Segment Fin Proj'!AV106</f>
        <v>83.8561978638582</v>
      </c>
    </row>
    <row r="49" customFormat="false" ht="15" hidden="false" customHeight="false" outlineLevel="0" collapsed="false">
      <c r="A49" s="667" t="str">
        <f aca="false">'Segment Fin Proj'!A107</f>
        <v>Other</v>
      </c>
      <c r="B49" s="370"/>
      <c r="C49" s="660" t="n">
        <f aca="false">'Segment Fin Proj'!AR107</f>
        <v>-19.841875</v>
      </c>
      <c r="D49" s="660" t="n">
        <f aca="false">'Segment Fin Proj'!AS107</f>
        <v>-17.036809</v>
      </c>
      <c r="E49" s="660" t="n">
        <f aca="false">'Segment Fin Proj'!AT107</f>
        <v>-18.5591983829149</v>
      </c>
      <c r="F49" s="660" t="n">
        <f aca="false">'Segment Fin Proj'!AU107</f>
        <v>-16.91895552</v>
      </c>
      <c r="G49" s="660" t="n">
        <f aca="false">'Segment Fin Proj'!AV107</f>
        <v>-16.8034591096</v>
      </c>
    </row>
    <row r="50" customFormat="false" ht="12.75" hidden="false" customHeight="false" outlineLevel="0" collapsed="false">
      <c r="B50" s="324"/>
      <c r="C50" s="324" t="n">
        <f aca="false">'Segment Fin Proj'!AR108</f>
        <v>741.489777</v>
      </c>
      <c r="D50" s="324" t="n">
        <f aca="false">'Segment Fin Proj'!AS108</f>
        <v>563.471198000001</v>
      </c>
      <c r="E50" s="324" t="n">
        <f aca="false">'Segment Fin Proj'!AT108</f>
        <v>727.881198000001</v>
      </c>
      <c r="F50" s="324" t="n">
        <f aca="false">'Segment Fin Proj'!AU108</f>
        <v>760.188558133297</v>
      </c>
      <c r="G50" s="324" t="n">
        <f aca="false">'Segment Fin Proj'!AV108</f>
        <v>890.300560311967</v>
      </c>
    </row>
    <row r="51" customFormat="false" ht="12.75" hidden="false" customHeight="false" outlineLevel="0" collapsed="false">
      <c r="A51" s="28" t="str">
        <f aca="false">'Segment Fin Proj'!A110</f>
        <v>EBITDA</v>
      </c>
      <c r="B51" s="324"/>
      <c r="C51" s="451"/>
      <c r="D51" s="324"/>
      <c r="E51" s="324"/>
      <c r="F51" s="324"/>
      <c r="G51" s="324"/>
    </row>
    <row r="52" customFormat="false" ht="12.75" hidden="false" customHeight="false" outlineLevel="0" collapsed="false">
      <c r="A52" s="0" t="str">
        <f aca="false">'Segment Fin Proj'!A111</f>
        <v>Electric</v>
      </c>
      <c r="B52" s="324"/>
      <c r="C52" s="324" t="n">
        <f aca="false">'Segment Fin Proj'!AR111</f>
        <v>950.023805338447</v>
      </c>
      <c r="D52" s="324" t="n">
        <f aca="false">'Segment Fin Proj'!AS111</f>
        <v>812.880627507853</v>
      </c>
      <c r="E52" s="324" t="n">
        <f aca="false">'Segment Fin Proj'!AT111</f>
        <v>924.861675221217</v>
      </c>
      <c r="F52" s="324" t="n">
        <f aca="false">'Segment Fin Proj'!AU111</f>
        <v>999.953469730993</v>
      </c>
      <c r="G52" s="324" t="n">
        <f aca="false">'Segment Fin Proj'!AV111</f>
        <v>1120.29109955771</v>
      </c>
    </row>
    <row r="53" customFormat="false" ht="12.75" hidden="false" customHeight="false" outlineLevel="0" collapsed="false">
      <c r="A53" s="0" t="str">
        <f aca="false">'Segment Fin Proj'!A112</f>
        <v>Gas</v>
      </c>
      <c r="B53" s="324"/>
      <c r="C53" s="324" t="n">
        <f aca="false">'Segment Fin Proj'!AR112</f>
        <v>108.650872661553</v>
      </c>
      <c r="D53" s="324" t="n">
        <f aca="false">'Segment Fin Proj'!AS112</f>
        <v>82.5432244921472</v>
      </c>
      <c r="E53" s="324" t="n">
        <f aca="false">'Segment Fin Proj'!AT112</f>
        <v>145.056160023853</v>
      </c>
      <c r="F53" s="324" t="n">
        <f aca="false">'Segment Fin Proj'!AU112</f>
        <v>92.0698889223043</v>
      </c>
      <c r="G53" s="324" t="n">
        <f aca="false">'Segment Fin Proj'!AV112</f>
        <v>101.728764863858</v>
      </c>
    </row>
    <row r="54" customFormat="false" ht="15" hidden="false" customHeight="false" outlineLevel="0" collapsed="false">
      <c r="A54" s="667" t="str">
        <f aca="false">'Segment Fin Proj'!A113</f>
        <v>Other</v>
      </c>
      <c r="B54" s="370"/>
      <c r="C54" s="660" t="n">
        <f aca="false">'Segment Fin Proj'!AR113</f>
        <v>-10.262901</v>
      </c>
      <c r="D54" s="660" t="n">
        <f aca="false">'Segment Fin Proj'!AS113</f>
        <v>-10.239654</v>
      </c>
      <c r="E54" s="660" t="n">
        <f aca="false">'Segment Fin Proj'!AT113</f>
        <v>-11.5186372450682</v>
      </c>
      <c r="F54" s="660" t="n">
        <f aca="false">'Segment Fin Proj'!AU113</f>
        <v>-10.12180052</v>
      </c>
      <c r="G54" s="660" t="n">
        <f aca="false">'Segment Fin Proj'!AV113</f>
        <v>-10.0063041096</v>
      </c>
    </row>
    <row r="55" customFormat="false" ht="13.5" hidden="false" customHeight="false" outlineLevel="0" collapsed="false">
      <c r="B55" s="661"/>
      <c r="C55" s="663" t="n">
        <f aca="false">'Segment Fin Proj'!AR114</f>
        <v>1048.411777</v>
      </c>
      <c r="D55" s="663" t="n">
        <f aca="false">'Segment Fin Proj'!AS114</f>
        <v>885.184198000001</v>
      </c>
      <c r="E55" s="663" t="n">
        <f aca="false">'Segment Fin Proj'!AT114</f>
        <v>1058.399198</v>
      </c>
      <c r="F55" s="663" t="n">
        <f aca="false">'Segment Fin Proj'!AU114</f>
        <v>1081.9015581333</v>
      </c>
      <c r="G55" s="663" t="n">
        <f aca="false">'Segment Fin Proj'!AV114</f>
        <v>1212.01356031197</v>
      </c>
    </row>
    <row r="56" customFormat="false" ht="13.5" hidden="false" customHeight="false" outlineLevel="0" collapsed="false">
      <c r="B56" s="661"/>
      <c r="C56" s="664"/>
      <c r="D56" s="664"/>
      <c r="E56" s="664"/>
    </row>
    <row r="57" customFormat="false" ht="12.75" hidden="false" customHeight="false" outlineLevel="0" collapsed="false">
      <c r="A57" s="28" t="str">
        <f aca="false">'Segment Fin Proj'!A117</f>
        <v>Interest Charges</v>
      </c>
      <c r="B57" s="324"/>
      <c r="C57" s="451"/>
      <c r="D57" s="359"/>
      <c r="E57" s="324"/>
      <c r="F57" s="324"/>
    </row>
    <row r="58" customFormat="false" ht="12.75" hidden="false" customHeight="false" outlineLevel="0" collapsed="false">
      <c r="A58" s="0" t="str">
        <f aca="false">'Segment Fin Proj'!A118</f>
        <v>Electric</v>
      </c>
      <c r="B58" s="324"/>
      <c r="C58" s="449" t="n">
        <f aca="false">'Segment Fin Proj'!AR118</f>
        <v>176.400462960993</v>
      </c>
      <c r="D58" s="449" t="n">
        <f aca="false">'Segment Fin Proj'!AS118</f>
        <v>176.923195180748</v>
      </c>
      <c r="E58" s="324" t="n">
        <f aca="false">'Segment Fin Proj'!AT118</f>
        <v>170.431471587922</v>
      </c>
      <c r="F58" s="665" t="n">
        <f aca="false">'Segment Fin Proj'!AU118</f>
        <v>176.923195180748</v>
      </c>
      <c r="G58" s="665" t="n">
        <f aca="false">'Segment Fin Proj'!AV118</f>
        <v>176.923195180748</v>
      </c>
    </row>
    <row r="59" customFormat="false" ht="12.75" hidden="false" customHeight="false" outlineLevel="0" collapsed="false">
      <c r="A59" s="0" t="str">
        <f aca="false">'Segment Fin Proj'!A119</f>
        <v>Gas</v>
      </c>
      <c r="B59" s="324"/>
      <c r="C59" s="449" t="n">
        <f aca="false">'Segment Fin Proj'!AR119</f>
        <v>23.8821120390072</v>
      </c>
      <c r="D59" s="449" t="n">
        <f aca="false">'Segment Fin Proj'!AS119</f>
        <v>14.6736338192515</v>
      </c>
      <c r="E59" s="324" t="n">
        <f aca="false">'Segment Fin Proj'!AT119</f>
        <v>14.2453574120776</v>
      </c>
      <c r="F59" s="665" t="n">
        <f aca="false">'Segment Fin Proj'!AU119</f>
        <v>14.6736338192515</v>
      </c>
      <c r="G59" s="665" t="n">
        <f aca="false">'Segment Fin Proj'!AV119</f>
        <v>14.6736338192515</v>
      </c>
    </row>
    <row r="60" customFormat="false" ht="15" hidden="false" customHeight="false" outlineLevel="0" collapsed="false">
      <c r="A60" s="667" t="str">
        <f aca="false">'Segment Fin Proj'!A120</f>
        <v>Other</v>
      </c>
      <c r="B60" s="324"/>
      <c r="C60" s="668" t="n">
        <f aca="false">'Segment Fin Proj'!AR120</f>
        <v>0</v>
      </c>
      <c r="D60" s="668" t="n">
        <f aca="false">'Segment Fin Proj'!AS120</f>
        <v>0</v>
      </c>
      <c r="E60" s="660" t="n">
        <f aca="false">'Segment Fin Proj'!AT120</f>
        <v>0</v>
      </c>
      <c r="F60" s="666" t="n">
        <f aca="false">'Segment Fin Proj'!AU120</f>
        <v>0</v>
      </c>
      <c r="G60" s="666" t="n">
        <f aca="false">'Segment Fin Proj'!AV120</f>
        <v>0</v>
      </c>
    </row>
    <row r="61" customFormat="false" ht="12.75" hidden="false" customHeight="false" outlineLevel="0" collapsed="false">
      <c r="A61" s="667"/>
      <c r="B61" s="324"/>
      <c r="C61" s="451" t="n">
        <f aca="false">'Segment Fin Proj'!AR121</f>
        <v>200.282575</v>
      </c>
      <c r="D61" s="451" t="n">
        <f aca="false">'Segment Fin Proj'!AS121</f>
        <v>191.596829</v>
      </c>
      <c r="E61" s="451" t="n">
        <f aca="false">'Segment Fin Proj'!AT121</f>
        <v>184.676829</v>
      </c>
      <c r="F61" s="451" t="n">
        <f aca="false">'Segment Fin Proj'!AU121</f>
        <v>191.596829</v>
      </c>
      <c r="G61" s="451" t="n">
        <f aca="false">'Segment Fin Proj'!AV121</f>
        <v>191.596829</v>
      </c>
    </row>
    <row r="62" customFormat="false" ht="12.75" hidden="false" customHeight="false" outlineLevel="0" collapsed="false">
      <c r="A62" s="28"/>
      <c r="B62" s="324"/>
      <c r="C62" s="359"/>
      <c r="D62" s="359"/>
      <c r="E62" s="324"/>
      <c r="F62" s="324"/>
      <c r="G62" s="324"/>
    </row>
    <row r="63" customFormat="false" ht="12.75" hidden="false" customHeight="false" outlineLevel="0" collapsed="false">
      <c r="A63" s="28" t="str">
        <f aca="false">'Segment Fin Proj'!A123</f>
        <v>Other Income/Losses</v>
      </c>
      <c r="B63" s="324"/>
      <c r="C63" s="451"/>
      <c r="D63" s="359"/>
      <c r="E63" s="324"/>
      <c r="F63" s="324"/>
      <c r="G63" s="324"/>
    </row>
    <row r="64" customFormat="false" ht="12.75" hidden="false" customHeight="false" outlineLevel="0" collapsed="false">
      <c r="A64" s="0" t="str">
        <f aca="false">'Segment Fin Proj'!A124</f>
        <v>Electric</v>
      </c>
      <c r="B64" s="324"/>
      <c r="C64" s="449" t="n">
        <f aca="false">'Segment Fin Proj'!AR124</f>
        <v>4.624</v>
      </c>
      <c r="D64" s="449" t="n">
        <f aca="false">'Segment Fin Proj'!AS124</f>
        <v>3.3</v>
      </c>
      <c r="E64" s="324" t="n">
        <f aca="false">'Segment Fin Proj'!AT124</f>
        <v>3.754</v>
      </c>
      <c r="F64" s="665" t="n">
        <f aca="false">'Segment Fin Proj'!AU124</f>
        <v>3.82908</v>
      </c>
      <c r="G64" s="665" t="n">
        <f aca="false">'Segment Fin Proj'!AV124</f>
        <v>3.9056616</v>
      </c>
    </row>
    <row r="65" customFormat="false" ht="12.75" hidden="false" customHeight="false" outlineLevel="0" collapsed="false">
      <c r="A65" s="0" t="str">
        <f aca="false">'Segment Fin Proj'!A125</f>
        <v>Gas</v>
      </c>
      <c r="B65" s="324"/>
      <c r="C65" s="669" t="n">
        <f aca="false">'Segment Fin Proj'!AR125</f>
        <v>0</v>
      </c>
      <c r="D65" s="449" t="n">
        <f aca="false">'Segment Fin Proj'!AS125</f>
        <v>0</v>
      </c>
      <c r="E65" s="669" t="n">
        <f aca="false">'Segment Fin Proj'!AT125</f>
        <v>0</v>
      </c>
      <c r="F65" s="665" t="n">
        <f aca="false">'Segment Fin Proj'!AU125</f>
        <v>0</v>
      </c>
      <c r="G65" s="665" t="n">
        <f aca="false">'Segment Fin Proj'!AV125</f>
        <v>0</v>
      </c>
    </row>
    <row r="66" customFormat="false" ht="15" hidden="false" customHeight="false" outlineLevel="0" collapsed="false">
      <c r="A66" s="0" t="str">
        <f aca="false">'Segment Fin Proj'!A126</f>
        <v>Other</v>
      </c>
      <c r="B66" s="324"/>
      <c r="C66" s="668" t="n">
        <f aca="false">'Segment Fin Proj'!AR126</f>
        <v>-6.156</v>
      </c>
      <c r="D66" s="668" t="n">
        <f aca="false">'Segment Fin Proj'!AS126</f>
        <v>-1.291</v>
      </c>
      <c r="E66" s="660" t="n">
        <f aca="false">'Segment Fin Proj'!AT126</f>
        <v>14.548</v>
      </c>
      <c r="F66" s="666" t="n">
        <f aca="false">'Segment Fin Proj'!AU126</f>
        <v>-1.31682</v>
      </c>
      <c r="G66" s="666" t="n">
        <f aca="false">'Segment Fin Proj'!AV126</f>
        <v>-1.3431564</v>
      </c>
    </row>
    <row r="67" customFormat="false" ht="12.75" hidden="false" customHeight="false" outlineLevel="0" collapsed="false">
      <c r="A67" s="28"/>
      <c r="B67" s="324"/>
      <c r="C67" s="449" t="n">
        <f aca="false">'Segment Fin Proj'!AR127</f>
        <v>-1.532</v>
      </c>
      <c r="D67" s="449" t="n">
        <f aca="false">'Segment Fin Proj'!AS127</f>
        <v>2.009</v>
      </c>
      <c r="E67" s="449" t="n">
        <f aca="false">'Segment Fin Proj'!AT127</f>
        <v>18.302</v>
      </c>
      <c r="F67" s="449" t="n">
        <f aca="false">'Segment Fin Proj'!AU127</f>
        <v>2.51226</v>
      </c>
      <c r="G67" s="449" t="n">
        <f aca="false">'Segment Fin Proj'!AV127</f>
        <v>2.5625052</v>
      </c>
    </row>
    <row r="68" customFormat="false" ht="12.75" hidden="false" customHeight="false" outlineLevel="0" collapsed="false">
      <c r="A68" s="28"/>
      <c r="B68" s="324"/>
      <c r="C68" s="670"/>
      <c r="D68" s="670"/>
      <c r="E68" s="451"/>
      <c r="F68" s="324"/>
      <c r="G68" s="324"/>
    </row>
    <row r="69" customFormat="false" ht="12.75" hidden="false" customHeight="false" outlineLevel="0" collapsed="false">
      <c r="A69" s="28" t="str">
        <f aca="false">'Segment Fin Proj'!A129</f>
        <v>Pre-Tax Income</v>
      </c>
      <c r="B69" s="324"/>
      <c r="C69" s="670"/>
      <c r="D69" s="670"/>
      <c r="E69" s="451"/>
      <c r="F69" s="324"/>
      <c r="G69" s="324"/>
    </row>
    <row r="70" customFormat="false" ht="12.75" hidden="false" customHeight="false" outlineLevel="0" collapsed="false">
      <c r="A70" s="0" t="str">
        <f aca="false">'Segment Fin Proj'!A130</f>
        <v>Electric</v>
      </c>
      <c r="B70" s="324"/>
      <c r="C70" s="449" t="n">
        <f aca="false">'Segment Fin Proj'!AR130</f>
        <v>498.254151377454</v>
      </c>
      <c r="D70" s="449" t="n">
        <f aca="false">'Segment Fin Proj'!AS130</f>
        <v>342.214154327104</v>
      </c>
      <c r="E70" s="324" t="n">
        <f aca="false">'Segment Fin Proj'!AT130</f>
        <v>453.111088077552</v>
      </c>
      <c r="F70" s="665" t="n">
        <f aca="false">'Segment Fin Proj'!AU130</f>
        <v>529.816076550244</v>
      </c>
      <c r="G70" s="665" t="n">
        <f aca="false">'Segment Fin Proj'!AV130</f>
        <v>650.23028797696</v>
      </c>
    </row>
    <row r="71" customFormat="false" ht="12.75" hidden="false" customHeight="false" outlineLevel="0" collapsed="false">
      <c r="A71" s="0" t="str">
        <f aca="false">'Segment Fin Proj'!A131</f>
        <v>Gas</v>
      </c>
      <c r="B71" s="324"/>
      <c r="C71" s="449" t="n">
        <f aca="false">'Segment Fin Proj'!AR131</f>
        <v>67.418925622546</v>
      </c>
      <c r="D71" s="449" t="n">
        <f aca="false">'Segment Fin Proj'!AS131</f>
        <v>49.9970236728957</v>
      </c>
      <c r="E71" s="324" t="n">
        <f aca="false">'Segment Fin Proj'!AT131</f>
        <v>112.406479305363</v>
      </c>
      <c r="F71" s="665" t="n">
        <f aca="false">'Segment Fin Proj'!AU131</f>
        <v>59.5236881030527</v>
      </c>
      <c r="G71" s="665" t="n">
        <f aca="false">'Segment Fin Proj'!AV131</f>
        <v>69.1825640446067</v>
      </c>
    </row>
    <row r="72" customFormat="false" ht="15" hidden="false" customHeight="false" outlineLevel="0" collapsed="false">
      <c r="A72" s="667" t="str">
        <f aca="false">'Segment Fin Proj'!A132</f>
        <v>Other</v>
      </c>
      <c r="B72" s="324"/>
      <c r="C72" s="668" t="n">
        <f aca="false">'Segment Fin Proj'!AR132</f>
        <v>-25.997875</v>
      </c>
      <c r="D72" s="668" t="n">
        <f aca="false">'Segment Fin Proj'!AS132</f>
        <v>-18.327809</v>
      </c>
      <c r="E72" s="660" t="n">
        <f aca="false">'Segment Fin Proj'!AT132</f>
        <v>-25.739205266119</v>
      </c>
      <c r="F72" s="666" t="n">
        <f aca="false">'Segment Fin Proj'!AU132</f>
        <v>-18.23577552</v>
      </c>
      <c r="G72" s="666" t="n">
        <f aca="false">'Segment Fin Proj'!AV132</f>
        <v>-18.1466155096</v>
      </c>
    </row>
    <row r="73" customFormat="false" ht="12.75" hidden="false" customHeight="false" outlineLevel="0" collapsed="false">
      <c r="A73" s="28"/>
      <c r="B73" s="324"/>
      <c r="C73" s="451" t="n">
        <f aca="false">'Segment Fin Proj'!AR133</f>
        <v>539.675202</v>
      </c>
      <c r="D73" s="451" t="n">
        <f aca="false">'Segment Fin Proj'!AS133</f>
        <v>373.883369000001</v>
      </c>
      <c r="E73" s="451" t="n">
        <f aca="false">'Segment Fin Proj'!AT133</f>
        <v>561.506369000001</v>
      </c>
      <c r="F73" s="451" t="n">
        <f aca="false">'Segment Fin Proj'!AU133</f>
        <v>571.103989133297</v>
      </c>
      <c r="G73" s="451" t="n">
        <f aca="false">'Segment Fin Proj'!AV133</f>
        <v>701.266236511967</v>
      </c>
    </row>
    <row r="74" customFormat="false" ht="12.75" hidden="false" customHeight="false" outlineLevel="0" collapsed="false">
      <c r="A74" s="28"/>
      <c r="B74" s="324"/>
      <c r="C74" s="670"/>
      <c r="D74" s="670"/>
      <c r="E74" s="451"/>
      <c r="F74" s="324"/>
      <c r="G74" s="324"/>
    </row>
    <row r="75" customFormat="false" ht="12.75" hidden="false" customHeight="false" outlineLevel="0" collapsed="false">
      <c r="A75" s="28" t="str">
        <f aca="false">'Segment Fin Proj'!A135</f>
        <v>Income Taxes--Federal</v>
      </c>
      <c r="B75" s="324"/>
      <c r="C75" s="451"/>
      <c r="D75" s="451"/>
      <c r="E75" s="324"/>
      <c r="F75" s="324"/>
      <c r="G75" s="324"/>
    </row>
    <row r="76" customFormat="false" ht="12.75" hidden="false" customHeight="false" outlineLevel="0" collapsed="false">
      <c r="A76" s="0" t="str">
        <f aca="false">'Segment Fin Proj'!A136</f>
        <v>Electric</v>
      </c>
      <c r="B76" s="324"/>
      <c r="C76" s="451" t="n">
        <f aca="false">'Segment Fin Proj'!AR136</f>
        <v>223.351484</v>
      </c>
      <c r="D76" s="451" t="n">
        <f aca="false">'Segment Fin Proj'!AS136</f>
        <v>143.030016</v>
      </c>
      <c r="E76" s="324" t="n">
        <f aca="false">'Segment Fin Proj'!AT136</f>
        <v>171.712156256168</v>
      </c>
      <c r="F76" s="665" t="n">
        <f aca="false">'Segment Fin Proj'!AU136</f>
        <v>216.736120117509</v>
      </c>
      <c r="G76" s="665" t="n">
        <f aca="false">'Segment Fin Proj'!AV136</f>
        <v>262.578982081134</v>
      </c>
    </row>
    <row r="77" customFormat="false" ht="12.75" hidden="false" customHeight="false" outlineLevel="0" collapsed="false">
      <c r="A77" s="0" t="str">
        <f aca="false">'Segment Fin Proj'!A137</f>
        <v>Gas</v>
      </c>
      <c r="B77" s="324"/>
      <c r="C77" s="451" t="n">
        <f aca="false">'Segment Fin Proj'!AR137</f>
        <v>15.924779</v>
      </c>
      <c r="D77" s="451" t="n">
        <f aca="false">'Segment Fin Proj'!AS137</f>
        <v>13.562354</v>
      </c>
      <c r="E77" s="324" t="n">
        <f aca="false">'Segment Fin Proj'!AT137</f>
        <v>16.5609910824021</v>
      </c>
      <c r="F77" s="665" t="n">
        <f aca="false">'Segment Fin Proj'!AU137</f>
        <v>16.1465877393184</v>
      </c>
      <c r="G77" s="665" t="n">
        <f aca="false">'Segment Fin Proj'!AV137</f>
        <v>18.7666855999127</v>
      </c>
    </row>
    <row r="78" customFormat="false" ht="15" hidden="false" customHeight="false" outlineLevel="0" collapsed="false">
      <c r="A78" s="667" t="str">
        <f aca="false">'Segment Fin Proj'!A138</f>
        <v>Other</v>
      </c>
      <c r="B78" s="324"/>
      <c r="C78" s="660" t="n">
        <f aca="false">'Segment Fin Proj'!AR138</f>
        <v>-23.135263</v>
      </c>
      <c r="D78" s="660" t="n">
        <f aca="false">'Segment Fin Proj'!AS138</f>
        <v>-5.12337000000001</v>
      </c>
      <c r="E78" s="660" t="n">
        <f aca="false">'Segment Fin Proj'!AT138</f>
        <v>125.54285266143</v>
      </c>
      <c r="F78" s="666" t="n">
        <f aca="false">'Segment Fin Proj'!AU138</f>
        <v>-5.10476245802643</v>
      </c>
      <c r="G78" s="666" t="n">
        <f aca="false">'Segment Fin Proj'!AV138</f>
        <v>-5.08673588078646</v>
      </c>
    </row>
    <row r="79" customFormat="false" ht="12.75" hidden="false" customHeight="false" outlineLevel="0" collapsed="false">
      <c r="A79" s="667"/>
      <c r="B79" s="324"/>
      <c r="C79" s="451" t="n">
        <f aca="false">'Segment Fin Proj'!AR139</f>
        <v>216.141</v>
      </c>
      <c r="D79" s="451" t="n">
        <f aca="false">'Segment Fin Proj'!AS139</f>
        <v>151.469</v>
      </c>
      <c r="E79" s="451" t="n">
        <f aca="false">'Segment Fin Proj'!AT139</f>
        <v>313.816</v>
      </c>
      <c r="F79" s="451" t="n">
        <f aca="false">'Segment Fin Proj'!AU139</f>
        <v>227.777945398801</v>
      </c>
      <c r="G79" s="451" t="n">
        <f aca="false">'Segment Fin Proj'!AV139</f>
        <v>276.25893180026</v>
      </c>
    </row>
    <row r="80" customFormat="false" ht="12.75" hidden="false" customHeight="false" outlineLevel="0" collapsed="false">
      <c r="A80" s="667"/>
      <c r="B80" s="324"/>
      <c r="C80" s="451"/>
      <c r="D80" s="451"/>
      <c r="E80" s="324"/>
      <c r="F80" s="324"/>
      <c r="G80" s="324"/>
    </row>
    <row r="81" customFormat="false" ht="12.75" hidden="false" customHeight="false" outlineLevel="0" collapsed="false">
      <c r="A81" s="28" t="str">
        <f aca="false">'Segment Fin Proj'!A141</f>
        <v>Net Income Before Non-Recurring Items</v>
      </c>
      <c r="B81" s="324"/>
      <c r="C81" s="451"/>
      <c r="D81" s="359"/>
      <c r="E81" s="324"/>
      <c r="F81" s="324"/>
      <c r="G81" s="324"/>
    </row>
    <row r="82" customFormat="false" ht="12.75" hidden="false" customHeight="false" outlineLevel="0" collapsed="false">
      <c r="A82" s="0" t="str">
        <f aca="false">'Segment Fin Proj'!A142</f>
        <v>Electric</v>
      </c>
      <c r="B82" s="324"/>
      <c r="C82" s="451" t="n">
        <f aca="false">'Segment Fin Proj'!AR142</f>
        <v>274.902667377454</v>
      </c>
      <c r="D82" s="451" t="n">
        <f aca="false">'Segment Fin Proj'!AS142</f>
        <v>199.184138327104</v>
      </c>
      <c r="E82" s="451" t="n">
        <f aca="false">'Segment Fin Proj'!AT142</f>
        <v>281.398931821384</v>
      </c>
      <c r="F82" s="451" t="n">
        <f aca="false">'Segment Fin Proj'!AU142</f>
        <v>313.079956432735</v>
      </c>
      <c r="G82" s="451" t="n">
        <f aca="false">'Segment Fin Proj'!AV142</f>
        <v>387.651305895826</v>
      </c>
    </row>
    <row r="83" customFormat="false" ht="12.75" hidden="false" customHeight="false" outlineLevel="0" collapsed="false">
      <c r="A83" s="0" t="str">
        <f aca="false">'Segment Fin Proj'!A143</f>
        <v>Gas</v>
      </c>
      <c r="B83" s="324"/>
      <c r="C83" s="451" t="n">
        <f aca="false">'Segment Fin Proj'!AR143</f>
        <v>51.4941466225461</v>
      </c>
      <c r="D83" s="451" t="n">
        <f aca="false">'Segment Fin Proj'!AS143</f>
        <v>36.4346696728957</v>
      </c>
      <c r="E83" s="451" t="n">
        <f aca="false">'Segment Fin Proj'!AT143</f>
        <v>95.8454882229613</v>
      </c>
      <c r="F83" s="451" t="n">
        <f aca="false">'Segment Fin Proj'!AU143</f>
        <v>43.3771003637343</v>
      </c>
      <c r="G83" s="451" t="n">
        <f aca="false">'Segment Fin Proj'!AV143</f>
        <v>50.4158784446939</v>
      </c>
    </row>
    <row r="84" customFormat="false" ht="15" hidden="false" customHeight="false" outlineLevel="0" collapsed="false">
      <c r="A84" s="667" t="str">
        <f aca="false">'Segment Fin Proj'!A144</f>
        <v>Other</v>
      </c>
      <c r="B84" s="324"/>
      <c r="C84" s="660" t="n">
        <f aca="false">'Segment Fin Proj'!AR144</f>
        <v>-2.86261199999994</v>
      </c>
      <c r="D84" s="660" t="n">
        <f aca="false">'Segment Fin Proj'!AS144</f>
        <v>-13.204439</v>
      </c>
      <c r="E84" s="660" t="n">
        <f aca="false">'Segment Fin Proj'!AT144</f>
        <v>-151.282057927549</v>
      </c>
      <c r="F84" s="660" t="n">
        <f aca="false">'Segment Fin Proj'!AU144</f>
        <v>-13.1310130619736</v>
      </c>
      <c r="G84" s="660" t="n">
        <f aca="false">'Segment Fin Proj'!AV144</f>
        <v>-13.0598796288135</v>
      </c>
    </row>
    <row r="85" customFormat="false" ht="12.75" hidden="false" customHeight="false" outlineLevel="0" collapsed="false">
      <c r="B85" s="324"/>
      <c r="C85" s="671" t="n">
        <f aca="false">'Segment Fin Proj'!AR145</f>
        <v>323.534202</v>
      </c>
      <c r="D85" s="671" t="n">
        <f aca="false">'Segment Fin Proj'!AS145</f>
        <v>222.414369</v>
      </c>
      <c r="E85" s="671" t="n">
        <f aca="false">'Segment Fin Proj'!AT145</f>
        <v>225.962362116796</v>
      </c>
      <c r="F85" s="671" t="n">
        <f aca="false">'Segment Fin Proj'!AU145</f>
        <v>343.326043734496</v>
      </c>
      <c r="G85" s="671" t="n">
        <f aca="false">'Segment Fin Proj'!AV145</f>
        <v>425.007304711707</v>
      </c>
    </row>
    <row r="86" customFormat="false" ht="12.75" hidden="false" customHeight="false" outlineLevel="0" collapsed="false">
      <c r="B86" s="324"/>
      <c r="C86" s="658"/>
      <c r="D86" s="670"/>
      <c r="E86" s="451"/>
      <c r="F86" s="658"/>
      <c r="G86" s="658"/>
    </row>
    <row r="87" customFormat="false" ht="12.75" hidden="false" customHeight="false" outlineLevel="0" collapsed="false">
      <c r="A87" s="28" t="str">
        <f aca="false">'Segment Fin Proj'!A156</f>
        <v>Preferred Dividends</v>
      </c>
      <c r="B87" s="324"/>
      <c r="C87" s="451" t="n">
        <f aca="false">'Segment Fin Proj'!AR156</f>
        <v>12.569</v>
      </c>
      <c r="D87" s="451" t="n">
        <f aca="false">'Segment Fin Proj'!AS156</f>
        <v>6.517</v>
      </c>
      <c r="E87" s="324" t="n">
        <f aca="false">'Segment Fin Proj'!AT156</f>
        <v>6.483</v>
      </c>
      <c r="F87" s="665" t="n">
        <f aca="false">'Segment Fin Proj'!AU156</f>
        <v>9.136</v>
      </c>
      <c r="G87" s="665" t="n">
        <f aca="false">'Segment Fin Proj'!AV156</f>
        <v>9.136</v>
      </c>
    </row>
    <row r="88" customFormat="false" ht="12.75" hidden="false" customHeight="false" outlineLevel="0" collapsed="false">
      <c r="A88" s="28" t="str">
        <f aca="false">'Segment Fin Proj'!A157</f>
        <v>Preferred Stock buy back</v>
      </c>
      <c r="B88" s="324"/>
      <c r="C88" s="451" t="n">
        <f aca="false">'Segment Fin Proj'!AR157</f>
        <v>0</v>
      </c>
      <c r="D88" s="451" t="n">
        <f aca="false">'Segment Fin Proj'!AS157</f>
        <v>0</v>
      </c>
      <c r="E88" s="324" t="n">
        <f aca="false">'Segment Fin Proj'!AT157</f>
        <v>0</v>
      </c>
      <c r="F88" s="665" t="n">
        <f aca="false">'Segment Fin Proj'!AU157</f>
        <v>0</v>
      </c>
      <c r="G88" s="665" t="n">
        <f aca="false">'Segment Fin Proj'!AV157</f>
        <v>0</v>
      </c>
    </row>
    <row r="89" customFormat="false" ht="12.75" hidden="false" customHeight="false" outlineLevel="0" collapsed="false">
      <c r="B89" s="324"/>
      <c r="C89" s="451"/>
      <c r="D89" s="451"/>
      <c r="E89" s="324"/>
      <c r="F89" s="324"/>
      <c r="G89" s="324"/>
    </row>
    <row r="90" customFormat="false" ht="12.75" hidden="false" customHeight="false" outlineLevel="0" collapsed="false">
      <c r="A90" s="28" t="str">
        <f aca="false">'Segment Fin Proj'!A159</f>
        <v>Net Income to Common</v>
      </c>
      <c r="B90" s="324"/>
      <c r="C90" s="451"/>
      <c r="D90" s="668"/>
      <c r="E90" s="324"/>
      <c r="F90" s="324"/>
      <c r="G90" s="324"/>
    </row>
    <row r="91" customFormat="false" ht="12.75" hidden="false" customHeight="false" outlineLevel="0" collapsed="false">
      <c r="A91" s="0" t="str">
        <f aca="false">'Segment Fin Proj'!A160</f>
        <v>Electric</v>
      </c>
      <c r="B91" s="324"/>
      <c r="C91" s="451" t="n">
        <f aca="false">'Segment Fin Proj'!AR160</f>
        <v>274.902667377454</v>
      </c>
      <c r="D91" s="324" t="n">
        <f aca="false">'Segment Fin Proj'!AS160</f>
        <v>199.184138327104</v>
      </c>
      <c r="E91" s="324" t="n">
        <f aca="false">'Segment Fin Proj'!AT160</f>
        <v>199.955138327104</v>
      </c>
      <c r="F91" s="665" t="n">
        <f aca="false">'Segment Fin Proj'!AU160</f>
        <v>303.943956432735</v>
      </c>
      <c r="G91" s="665" t="n">
        <f aca="false">'Segment Fin Proj'!AV160</f>
        <v>378.515305895826</v>
      </c>
    </row>
    <row r="92" customFormat="false" ht="12.75" hidden="false" customHeight="false" outlineLevel="0" collapsed="false">
      <c r="A92" s="0" t="str">
        <f aca="false">'Segment Fin Proj'!A161</f>
        <v>Gas</v>
      </c>
      <c r="B92" s="324"/>
      <c r="C92" s="451" t="n">
        <f aca="false">'Segment Fin Proj'!AR161</f>
        <v>51.4941466225461</v>
      </c>
      <c r="D92" s="324" t="n">
        <f aca="false">'Segment Fin Proj'!AS161</f>
        <v>36.4346696728957</v>
      </c>
      <c r="E92" s="324" t="n">
        <f aca="false">'Segment Fin Proj'!AT161</f>
        <v>35.7936696728957</v>
      </c>
      <c r="F92" s="665" t="n">
        <f aca="false">'Segment Fin Proj'!AU161</f>
        <v>43.3771003637343</v>
      </c>
      <c r="G92" s="665" t="n">
        <f aca="false">'Segment Fin Proj'!AV161</f>
        <v>50.4158784446939</v>
      </c>
    </row>
    <row r="93" customFormat="false" ht="15" hidden="false" customHeight="false" outlineLevel="0" collapsed="false">
      <c r="A93" s="667" t="str">
        <f aca="false">'Segment Fin Proj'!A162</f>
        <v>Other</v>
      </c>
      <c r="B93" s="660"/>
      <c r="C93" s="660" t="n">
        <f aca="false">'Segment Fin Proj'!AR162</f>
        <v>-2.86261199999994</v>
      </c>
      <c r="D93" s="660" t="n">
        <f aca="false">'Segment Fin Proj'!AS162</f>
        <v>-13.204439</v>
      </c>
      <c r="E93" s="660" t="n">
        <f aca="false">'Segment Fin Proj'!AT162</f>
        <v>-17.825977</v>
      </c>
      <c r="F93" s="666" t="n">
        <f aca="false">'Segment Fin Proj'!AU162</f>
        <v>-13.1310130619736</v>
      </c>
      <c r="G93" s="666" t="n">
        <f aca="false">'Segment Fin Proj'!AV162</f>
        <v>-13.0598796288135</v>
      </c>
    </row>
    <row r="94" customFormat="false" ht="13.5" hidden="false" customHeight="false" outlineLevel="0" collapsed="false">
      <c r="B94" s="664"/>
      <c r="C94" s="663" t="n">
        <f aca="false">'Segment Fin Proj'!AR163</f>
        <v>310.965202</v>
      </c>
      <c r="D94" s="663" t="n">
        <f aca="false">'Segment Fin Proj'!AS163</f>
        <v>215.897369</v>
      </c>
      <c r="E94" s="663" t="n">
        <f aca="false">'Segment Fin Proj'!AT163</f>
        <v>90.0833690000002</v>
      </c>
      <c r="F94" s="663" t="n">
        <f aca="false">'Segment Fin Proj'!AU163</f>
        <v>334.190043734496</v>
      </c>
      <c r="G94" s="663" t="n">
        <f aca="false">'Segment Fin Proj'!AV163</f>
        <v>415.871304711707</v>
      </c>
    </row>
    <row r="95" customFormat="false" ht="13.5" hidden="false" customHeight="false" outlineLevel="0" collapsed="false">
      <c r="A95" s="0" t="str">
        <f aca="false">'Segment Fin Proj'!A166</f>
        <v>Average number of shares</v>
      </c>
      <c r="B95" s="370"/>
      <c r="C95" s="658" t="n">
        <f aca="false">'Segment Fin Proj'!AR166</f>
        <v>158.8</v>
      </c>
      <c r="D95" s="658" t="n">
        <f aca="false">'Segment Fin Proj'!AS166</f>
        <v>158.8</v>
      </c>
      <c r="E95" s="658" t="n">
        <f aca="false">'Segment Fin Proj'!AT166</f>
        <v>158.8</v>
      </c>
      <c r="F95" s="658" t="n">
        <f aca="false">'Segment Fin Proj'!AU166</f>
        <v>158.8</v>
      </c>
      <c r="G95" s="658" t="n">
        <f aca="false">'Segment Fin Proj'!AV166</f>
        <v>158.8</v>
      </c>
    </row>
    <row r="96" customFormat="false" ht="12.75" hidden="false" customHeight="false" outlineLevel="0" collapsed="false">
      <c r="B96" s="370"/>
      <c r="C96" s="451"/>
      <c r="D96" s="451"/>
      <c r="E96" s="451"/>
      <c r="F96" s="324"/>
      <c r="G96" s="324"/>
    </row>
    <row r="97" customFormat="false" ht="12.75" hidden="false" customHeight="false" outlineLevel="0" collapsed="false">
      <c r="A97" s="28" t="str">
        <f aca="false">'Segment Fin Proj'!A168</f>
        <v>EPS</v>
      </c>
      <c r="B97" s="672"/>
      <c r="C97" s="596" t="n">
        <f aca="false">'Segment Fin Proj'!AR168</f>
        <v>1.95821915617129</v>
      </c>
      <c r="D97" s="596" t="n">
        <f aca="false">'Segment Fin Proj'!AS168</f>
        <v>1.35955522040302</v>
      </c>
      <c r="E97" s="596" t="n">
        <f aca="false">'Segment Fin Proj'!AT168</f>
        <v>0.567275623425694</v>
      </c>
      <c r="F97" s="596" t="n">
        <f aca="false">'Segment Fin Proj'!AU168</f>
        <v>2.10447130815174</v>
      </c>
      <c r="G97" s="596" t="n">
        <f aca="false">'Segment Fin Proj'!AV168</f>
        <v>2.61883693143392</v>
      </c>
    </row>
  </sheetData>
  <mergeCells count="1">
    <mergeCell ref="C4:E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673" width="12.14"/>
    <col collapsed="false" customWidth="false" hidden="false" outlineLevel="0" max="257" min="2" style="673" width="9.14"/>
  </cols>
  <sheetData>
    <row r="1" customFormat="false" ht="38.25" hidden="false" customHeight="false" outlineLevel="0" collapsed="false">
      <c r="A1" s="674" t="s">
        <v>755</v>
      </c>
      <c r="B1" s="675" t="s">
        <v>671</v>
      </c>
      <c r="C1" s="675" t="s">
        <v>756</v>
      </c>
      <c r="D1" s="673" t="s">
        <v>671</v>
      </c>
      <c r="E1" s="673" t="s">
        <v>757</v>
      </c>
    </row>
    <row r="2" customFormat="false" ht="12.75" hidden="false" customHeight="false" outlineLevel="0" collapsed="false">
      <c r="A2" s="676" t="n">
        <v>35856</v>
      </c>
      <c r="B2" s="677" t="n">
        <v>30.414</v>
      </c>
      <c r="C2" s="678" t="n">
        <v>271.69</v>
      </c>
      <c r="D2" s="679" t="n">
        <v>100</v>
      </c>
      <c r="E2" s="680" t="n">
        <v>100</v>
      </c>
    </row>
    <row r="3" customFormat="false" ht="12.75" hidden="false" customHeight="false" outlineLevel="0" collapsed="false">
      <c r="A3" s="676" t="n">
        <v>35857</v>
      </c>
      <c r="B3" s="677" t="n">
        <v>30.4685</v>
      </c>
      <c r="C3" s="678" t="n">
        <v>272.47</v>
      </c>
      <c r="D3" s="679" t="n">
        <f aca="false">+(B3/$B$2)*$D$2</f>
        <v>100.179193792332</v>
      </c>
      <c r="E3" s="680" t="n">
        <f aca="false">+(C3/$C$2)*$E$2</f>
        <v>100.287091906217</v>
      </c>
    </row>
    <row r="4" customFormat="false" ht="12.75" hidden="false" customHeight="false" outlineLevel="0" collapsed="false">
      <c r="A4" s="676" t="n">
        <v>35858</v>
      </c>
      <c r="B4" s="677" t="n">
        <v>30.632</v>
      </c>
      <c r="C4" s="678" t="n">
        <v>271.92</v>
      </c>
      <c r="D4" s="679" t="n">
        <f aca="false">+(B4/$B$2)*$D$2</f>
        <v>100.71677516933</v>
      </c>
      <c r="E4" s="680" t="n">
        <f aca="false">+(C4/$C$2)*$E$2</f>
        <v>100.084655305679</v>
      </c>
    </row>
    <row r="5" customFormat="false" ht="12.75" hidden="false" customHeight="false" outlineLevel="0" collapsed="false">
      <c r="A5" s="676" t="n">
        <v>35859</v>
      </c>
      <c r="B5" s="677" t="n">
        <v>30.5775</v>
      </c>
      <c r="C5" s="678" t="n">
        <v>271.69</v>
      </c>
      <c r="D5" s="679" t="n">
        <f aca="false">+(B5/$B$2)*$D$2</f>
        <v>100.537581376997</v>
      </c>
      <c r="E5" s="680" t="n">
        <f aca="false">+(C5/$C$2)*$E$2</f>
        <v>100</v>
      </c>
    </row>
    <row r="6" customFormat="false" ht="12.75" hidden="false" customHeight="false" outlineLevel="0" collapsed="false">
      <c r="A6" s="676" t="n">
        <v>35860</v>
      </c>
      <c r="B6" s="677" t="n">
        <v>31.0681</v>
      </c>
      <c r="C6" s="678" t="n">
        <v>272.9</v>
      </c>
      <c r="D6" s="679" t="n">
        <f aca="false">+(B6/$B$2)*$D$2</f>
        <v>102.150654303939</v>
      </c>
      <c r="E6" s="680" t="n">
        <f aca="false">+(C6/$C$2)*$E$2</f>
        <v>100.445360521182</v>
      </c>
    </row>
    <row r="7" customFormat="false" ht="12.75" hidden="false" customHeight="false" outlineLevel="0" collapsed="false">
      <c r="A7" s="676" t="n">
        <v>35863</v>
      </c>
      <c r="B7" s="677" t="n">
        <v>31.0681</v>
      </c>
      <c r="C7" s="678" t="n">
        <v>274.1</v>
      </c>
      <c r="D7" s="679" t="n">
        <f aca="false">+(B7/$B$2)*$D$2</f>
        <v>102.150654303939</v>
      </c>
      <c r="E7" s="680" t="n">
        <f aca="false">+(C7/$C$2)*$E$2</f>
        <v>100.8870403769</v>
      </c>
      <c r="G7" s="681"/>
    </row>
    <row r="8" customFormat="false" ht="12.75" hidden="false" customHeight="false" outlineLevel="0" collapsed="false">
      <c r="A8" s="676" t="n">
        <v>35864</v>
      </c>
      <c r="B8" s="677" t="n">
        <v>31.4496</v>
      </c>
      <c r="C8" s="678" t="n">
        <v>276.71</v>
      </c>
      <c r="D8" s="679" t="n">
        <f aca="false">+(B8/$B$2)*$D$2</f>
        <v>103.405010850266</v>
      </c>
      <c r="E8" s="680" t="n">
        <f aca="false">+(C8/$C$2)*$E$2</f>
        <v>101.847694063087</v>
      </c>
    </row>
    <row r="9" customFormat="false" ht="12.75" hidden="false" customHeight="false" outlineLevel="0" collapsed="false">
      <c r="A9" s="676" t="n">
        <v>35865</v>
      </c>
      <c r="B9" s="677" t="n">
        <v>31.5041</v>
      </c>
      <c r="C9" s="678" t="n">
        <v>275.68</v>
      </c>
      <c r="D9" s="679" t="n">
        <f aca="false">+(B9/$B$2)*$D$2</f>
        <v>103.584204642599</v>
      </c>
      <c r="E9" s="680" t="n">
        <f aca="false">+(C9/$C$2)*$E$2</f>
        <v>101.468585520262</v>
      </c>
    </row>
    <row r="10" customFormat="false" ht="12.75" hidden="false" customHeight="false" outlineLevel="0" collapsed="false">
      <c r="A10" s="676" t="n">
        <v>35866</v>
      </c>
      <c r="B10" s="677" t="n">
        <v>31.0136</v>
      </c>
      <c r="C10" s="678" t="n">
        <v>275.07</v>
      </c>
      <c r="D10" s="679" t="n">
        <f aca="false">+(B10/$B$2)*$D$2</f>
        <v>101.971460511606</v>
      </c>
      <c r="E10" s="680" t="n">
        <f aca="false">+(C10/$C$2)*$E$2</f>
        <v>101.244064926939</v>
      </c>
    </row>
    <row r="11" customFormat="false" ht="12.75" hidden="false" customHeight="false" outlineLevel="0" collapsed="false">
      <c r="A11" s="676" t="n">
        <v>35867</v>
      </c>
      <c r="B11" s="677" t="n">
        <v>30.9591</v>
      </c>
      <c r="C11" s="678" t="n">
        <v>274.99</v>
      </c>
      <c r="D11" s="679" t="n">
        <f aca="false">+(B11/$B$2)*$D$2</f>
        <v>101.792266719274</v>
      </c>
      <c r="E11" s="680" t="n">
        <f aca="false">+(C11/$C$2)*$E$2</f>
        <v>101.214619603224</v>
      </c>
    </row>
    <row r="12" customFormat="false" ht="12.75" hidden="false" customHeight="false" outlineLevel="0" collapsed="false">
      <c r="A12" s="676" t="n">
        <v>35870</v>
      </c>
      <c r="B12" s="677" t="n">
        <v>31.3406</v>
      </c>
      <c r="C12" s="678" t="n">
        <v>276.71</v>
      </c>
      <c r="D12" s="679" t="n">
        <f aca="false">+(B12/$B$2)*$D$2</f>
        <v>103.046623265601</v>
      </c>
      <c r="E12" s="680" t="n">
        <f aca="false">+(C12/$C$2)*$E$2</f>
        <v>101.847694063087</v>
      </c>
    </row>
    <row r="13" customFormat="false" ht="12.75" hidden="false" customHeight="false" outlineLevel="0" collapsed="false">
      <c r="A13" s="676" t="n">
        <v>35871</v>
      </c>
      <c r="B13" s="677" t="n">
        <v>31.2861</v>
      </c>
      <c r="C13" s="678" t="n">
        <v>278.68</v>
      </c>
      <c r="D13" s="679" t="n">
        <f aca="false">+(B13/$B$2)*$D$2</f>
        <v>102.867429473269</v>
      </c>
      <c r="E13" s="680" t="n">
        <f aca="false">+(C13/$C$2)*$E$2</f>
        <v>102.572785159557</v>
      </c>
    </row>
    <row r="14" customFormat="false" ht="12.75" hidden="false" customHeight="false" outlineLevel="0" collapsed="false">
      <c r="A14" s="676" t="n">
        <v>35872</v>
      </c>
      <c r="B14" s="677" t="n">
        <v>31.0681</v>
      </c>
      <c r="C14" s="678" t="n">
        <v>281.24</v>
      </c>
      <c r="D14" s="679" t="n">
        <f aca="false">+(B14/$B$2)*$D$2</f>
        <v>102.150654303939</v>
      </c>
      <c r="E14" s="680" t="n">
        <f aca="false">+(C14/$C$2)*$E$2</f>
        <v>103.515035518422</v>
      </c>
    </row>
    <row r="15" customFormat="false" ht="12.75" hidden="false" customHeight="false" outlineLevel="0" collapsed="false">
      <c r="A15" s="676" t="n">
        <v>35873</v>
      </c>
      <c r="B15" s="677" t="n">
        <v>31.3406</v>
      </c>
      <c r="C15" s="678" t="n">
        <v>281.78</v>
      </c>
      <c r="D15" s="679" t="n">
        <f aca="false">+(B15/$B$2)*$D$2</f>
        <v>103.046623265601</v>
      </c>
      <c r="E15" s="680" t="n">
        <f aca="false">+(C15/$C$2)*$E$2</f>
        <v>103.713791453495</v>
      </c>
    </row>
    <row r="16" customFormat="false" ht="12.75" hidden="false" customHeight="false" outlineLevel="0" collapsed="false">
      <c r="A16" s="676" t="n">
        <v>35874</v>
      </c>
      <c r="B16" s="677" t="n">
        <v>31.7766</v>
      </c>
      <c r="C16" s="678" t="n">
        <v>285.68</v>
      </c>
      <c r="D16" s="679" t="n">
        <f aca="false">+(B16/$B$2)*$D$2</f>
        <v>104.480173604261</v>
      </c>
      <c r="E16" s="680" t="n">
        <f aca="false">+(C16/$C$2)*$E$2</f>
        <v>105.149250984578</v>
      </c>
    </row>
    <row r="17" customFormat="false" ht="12.75" hidden="false" customHeight="false" outlineLevel="0" collapsed="false">
      <c r="A17" s="676" t="n">
        <v>35877</v>
      </c>
      <c r="B17" s="677" t="n">
        <v>31.8857</v>
      </c>
      <c r="C17" s="678" t="n">
        <v>287.4</v>
      </c>
      <c r="D17" s="679" t="n">
        <f aca="false">+(B17/$B$2)*$D$2</f>
        <v>104.838889984875</v>
      </c>
      <c r="E17" s="680" t="n">
        <f aca="false">+(C17/$C$2)*$E$2</f>
        <v>105.78232544444</v>
      </c>
    </row>
    <row r="18" customFormat="false" ht="12.75" hidden="false" customHeight="false" outlineLevel="0" collapsed="false">
      <c r="A18" s="676" t="n">
        <v>35878</v>
      </c>
      <c r="B18" s="677" t="n">
        <v>32.4852</v>
      </c>
      <c r="C18" s="678" t="n">
        <v>287.6</v>
      </c>
      <c r="D18" s="679" t="n">
        <f aca="false">+(B18/$B$2)*$D$2</f>
        <v>106.810021700533</v>
      </c>
      <c r="E18" s="680" t="n">
        <f aca="false">+(C18/$C$2)*$E$2</f>
        <v>105.855938753727</v>
      </c>
    </row>
    <row r="19" customFormat="false" ht="12.75" hidden="false" customHeight="false" outlineLevel="0" collapsed="false">
      <c r="A19" s="676" t="n">
        <v>35879</v>
      </c>
      <c r="B19" s="677" t="n">
        <v>32.2127</v>
      </c>
      <c r="C19" s="678" t="n">
        <v>287</v>
      </c>
      <c r="D19" s="679" t="n">
        <f aca="false">+(B19/$B$2)*$D$2</f>
        <v>105.91405273887</v>
      </c>
      <c r="E19" s="680" t="n">
        <f aca="false">+(C19/$C$2)*$E$2</f>
        <v>105.635098825868</v>
      </c>
    </row>
    <row r="20" customFormat="false" ht="12.75" hidden="false" customHeight="false" outlineLevel="0" collapsed="false">
      <c r="A20" s="676" t="n">
        <v>35880</v>
      </c>
      <c r="B20" s="677" t="n">
        <v>31.8857</v>
      </c>
      <c r="C20" s="678" t="n">
        <v>284.99</v>
      </c>
      <c r="D20" s="679" t="n">
        <f aca="false">+(B20/$B$2)*$D$2</f>
        <v>104.838889984875</v>
      </c>
      <c r="E20" s="680" t="n">
        <f aca="false">+(C20/$C$2)*$E$2</f>
        <v>104.89528506754</v>
      </c>
    </row>
    <row r="21" customFormat="false" ht="12.75" hidden="false" customHeight="false" outlineLevel="0" collapsed="false">
      <c r="A21" s="676" t="n">
        <v>35881</v>
      </c>
      <c r="B21" s="677" t="n">
        <v>31.6131</v>
      </c>
      <c r="C21" s="678" t="n">
        <v>282.64</v>
      </c>
      <c r="D21" s="679" t="n">
        <f aca="false">+(B21/$B$2)*$D$2</f>
        <v>103.942592227264</v>
      </c>
      <c r="E21" s="680" t="n">
        <f aca="false">+(C21/$C$2)*$E$2</f>
        <v>104.030328683426</v>
      </c>
    </row>
    <row r="22" customFormat="false" ht="12.75" hidden="false" customHeight="false" outlineLevel="0" collapsed="false">
      <c r="A22" s="676" t="n">
        <v>35884</v>
      </c>
      <c r="B22" s="677" t="n">
        <v>31.8311</v>
      </c>
      <c r="C22" s="678" t="n">
        <v>281.9</v>
      </c>
      <c r="D22" s="679" t="n">
        <f aca="false">+(B22/$B$2)*$D$2</f>
        <v>104.659367396594</v>
      </c>
      <c r="E22" s="680" t="n">
        <f aca="false">+(C22/$C$2)*$E$2</f>
        <v>103.757959439067</v>
      </c>
    </row>
    <row r="23" customFormat="false" ht="12.75" hidden="false" customHeight="false" outlineLevel="0" collapsed="false">
      <c r="A23" s="676" t="n">
        <v>35885</v>
      </c>
      <c r="B23" s="677" t="n">
        <v>32.1582</v>
      </c>
      <c r="C23" s="678" t="n">
        <v>285.94</v>
      </c>
      <c r="D23" s="679" t="n">
        <f aca="false">+(B23/$B$2)*$D$2</f>
        <v>105.734858946538</v>
      </c>
      <c r="E23" s="680" t="n">
        <f aca="false">+(C23/$C$2)*$E$2</f>
        <v>105.24494828665</v>
      </c>
    </row>
    <row r="24" customFormat="false" ht="12.75" hidden="false" customHeight="false" outlineLevel="0" collapsed="false">
      <c r="A24" s="676" t="n">
        <v>35886</v>
      </c>
      <c r="B24" s="677" t="n">
        <v>31.9402</v>
      </c>
      <c r="C24" s="678" t="n">
        <v>286.31</v>
      </c>
      <c r="D24" s="679" t="n">
        <f aca="false">+(B24/$B$2)*$D$2</f>
        <v>105.018083777208</v>
      </c>
      <c r="E24" s="680" t="n">
        <f aca="false">+(C24/$C$2)*$E$2</f>
        <v>105.38113290883</v>
      </c>
    </row>
    <row r="25" customFormat="false" ht="12.75" hidden="false" customHeight="false" outlineLevel="0" collapsed="false">
      <c r="A25" s="676" t="n">
        <v>35887</v>
      </c>
      <c r="B25" s="677" t="n">
        <v>32.2127</v>
      </c>
      <c r="C25" s="678" t="n">
        <v>291.18</v>
      </c>
      <c r="D25" s="679" t="n">
        <f aca="false">+(B25/$B$2)*$D$2</f>
        <v>105.91405273887</v>
      </c>
      <c r="E25" s="680" t="n">
        <f aca="false">+(C25/$C$2)*$E$2</f>
        <v>107.173616989952</v>
      </c>
    </row>
    <row r="26" customFormat="false" ht="12.75" hidden="false" customHeight="false" outlineLevel="0" collapsed="false">
      <c r="A26" s="676" t="n">
        <v>35888</v>
      </c>
      <c r="B26" s="677" t="n">
        <v>31.9947</v>
      </c>
      <c r="C26" s="678" t="n">
        <v>290.35</v>
      </c>
      <c r="D26" s="679" t="n">
        <f aca="false">+(B26/$B$2)*$D$2</f>
        <v>105.19727756954</v>
      </c>
      <c r="E26" s="680" t="n">
        <f aca="false">+(C26/$C$2)*$E$2</f>
        <v>106.868121756414</v>
      </c>
    </row>
    <row r="27" customFormat="false" ht="12.75" hidden="false" customHeight="false" outlineLevel="0" collapsed="false">
      <c r="A27" s="676" t="n">
        <v>35891</v>
      </c>
      <c r="B27" s="677" t="n">
        <v>31.8311</v>
      </c>
      <c r="C27" s="678" t="n">
        <v>288.83</v>
      </c>
      <c r="D27" s="679" t="n">
        <f aca="false">+(B27/$B$2)*$D$2</f>
        <v>104.659367396594</v>
      </c>
      <c r="E27" s="680" t="n">
        <f aca="false">+(C27/$C$2)*$E$2</f>
        <v>106.308660605838</v>
      </c>
    </row>
    <row r="28" customFormat="false" ht="12.75" hidden="false" customHeight="false" outlineLevel="0" collapsed="false">
      <c r="A28" s="676" t="n">
        <v>35892</v>
      </c>
      <c r="B28" s="677" t="n">
        <v>31.7766</v>
      </c>
      <c r="C28" s="678" t="n">
        <v>288.26</v>
      </c>
      <c r="D28" s="679" t="n">
        <f aca="false">+(B28/$B$2)*$D$2</f>
        <v>104.480173604261</v>
      </c>
      <c r="E28" s="680" t="n">
        <f aca="false">+(C28/$C$2)*$E$2</f>
        <v>106.098862674372</v>
      </c>
    </row>
    <row r="29" customFormat="false" ht="12.75" hidden="false" customHeight="false" outlineLevel="0" collapsed="false">
      <c r="A29" s="676" t="n">
        <v>35893</v>
      </c>
      <c r="B29" s="677" t="n">
        <v>31.3406</v>
      </c>
      <c r="C29" s="678" t="n">
        <v>285.62</v>
      </c>
      <c r="D29" s="679" t="n">
        <f aca="false">+(B29/$B$2)*$D$2</f>
        <v>103.046623265601</v>
      </c>
      <c r="E29" s="680" t="n">
        <f aca="false">+(C29/$C$2)*$E$2</f>
        <v>105.127166991792</v>
      </c>
    </row>
    <row r="30" customFormat="false" ht="12.75" hidden="false" customHeight="false" outlineLevel="0" collapsed="false">
      <c r="A30" s="676" t="n">
        <v>35894</v>
      </c>
      <c r="B30" s="677" t="n">
        <v>31.4496</v>
      </c>
      <c r="C30" s="678" t="n">
        <v>287.37</v>
      </c>
      <c r="D30" s="679" t="n">
        <f aca="false">+(B30/$B$2)*$D$2</f>
        <v>103.405010850266</v>
      </c>
      <c r="E30" s="680" t="n">
        <f aca="false">+(C30/$C$2)*$E$2</f>
        <v>105.771283448047</v>
      </c>
    </row>
    <row r="31" customFormat="false" ht="12.75" hidden="false" customHeight="false" outlineLevel="0" collapsed="false">
      <c r="A31" s="676" t="n">
        <v>35898</v>
      </c>
      <c r="B31" s="677" t="n">
        <v>31.3406</v>
      </c>
      <c r="C31" s="678" t="n">
        <v>284.9</v>
      </c>
      <c r="D31" s="679" t="n">
        <f aca="false">+(B31/$B$2)*$D$2</f>
        <v>103.046623265601</v>
      </c>
      <c r="E31" s="680" t="n">
        <f aca="false">+(C31/$C$2)*$E$2</f>
        <v>104.862159078361</v>
      </c>
    </row>
    <row r="32" customFormat="false" ht="12.75" hidden="false" customHeight="false" outlineLevel="0" collapsed="false">
      <c r="A32" s="676" t="n">
        <v>35899</v>
      </c>
      <c r="B32" s="677" t="n">
        <v>31.6131</v>
      </c>
      <c r="C32" s="678" t="n">
        <v>287.83</v>
      </c>
      <c r="D32" s="679" t="n">
        <f aca="false">+(B32/$B$2)*$D$2</f>
        <v>103.942592227264</v>
      </c>
      <c r="E32" s="680" t="n">
        <f aca="false">+(C32/$C$2)*$E$2</f>
        <v>105.940594059406</v>
      </c>
    </row>
    <row r="33" customFormat="false" ht="12.75" hidden="false" customHeight="false" outlineLevel="0" collapsed="false">
      <c r="A33" s="676" t="n">
        <v>35900</v>
      </c>
      <c r="B33" s="677" t="n">
        <v>31.6676</v>
      </c>
      <c r="C33" s="678" t="n">
        <v>287.89</v>
      </c>
      <c r="D33" s="679" t="n">
        <f aca="false">+(B33/$B$2)*$D$2</f>
        <v>104.121786019596</v>
      </c>
      <c r="E33" s="680" t="n">
        <f aca="false">+(C33/$C$2)*$E$2</f>
        <v>105.962678052192</v>
      </c>
    </row>
    <row r="34" customFormat="false" ht="12.75" hidden="false" customHeight="false" outlineLevel="0" collapsed="false">
      <c r="A34" s="676" t="n">
        <v>35901</v>
      </c>
      <c r="B34" s="677" t="n">
        <v>31.1771</v>
      </c>
      <c r="C34" s="678" t="n">
        <v>286.22</v>
      </c>
      <c r="D34" s="679" t="n">
        <f aca="false">+(B34/$B$2)*$D$2</f>
        <v>102.509041888604</v>
      </c>
      <c r="E34" s="680" t="n">
        <f aca="false">+(C34/$C$2)*$E$2</f>
        <v>105.348006919651</v>
      </c>
    </row>
    <row r="35" customFormat="false" ht="12.75" hidden="false" customHeight="false" outlineLevel="0" collapsed="false">
      <c r="A35" s="676" t="n">
        <v>35902</v>
      </c>
      <c r="B35" s="677" t="n">
        <v>31.3951</v>
      </c>
      <c r="C35" s="678" t="n">
        <v>289.58</v>
      </c>
      <c r="D35" s="679" t="n">
        <f aca="false">+(B35/$B$2)*$D$2</f>
        <v>103.225817057934</v>
      </c>
      <c r="E35" s="680" t="n">
        <f aca="false">+(C35/$C$2)*$E$2</f>
        <v>106.584710515661</v>
      </c>
    </row>
    <row r="36" customFormat="false" ht="12.75" hidden="false" customHeight="false" outlineLevel="0" collapsed="false">
      <c r="A36" s="676" t="n">
        <v>35905</v>
      </c>
      <c r="B36" s="677" t="n">
        <v>31.2861</v>
      </c>
      <c r="C36" s="678" t="n">
        <v>288.32</v>
      </c>
      <c r="D36" s="679" t="n">
        <f aca="false">+(B36/$B$2)*$D$2</f>
        <v>102.867429473269</v>
      </c>
      <c r="E36" s="680" t="n">
        <f aca="false">+(C36/$C$2)*$E$2</f>
        <v>106.120946667157</v>
      </c>
    </row>
    <row r="37" customFormat="false" ht="12.75" hidden="false" customHeight="false" outlineLevel="0" collapsed="false">
      <c r="A37" s="676" t="n">
        <v>35906</v>
      </c>
      <c r="B37" s="677" t="n">
        <v>30.8501</v>
      </c>
      <c r="C37" s="678" t="n">
        <v>287.51</v>
      </c>
      <c r="D37" s="679" t="n">
        <f aca="false">+(B37/$B$2)*$D$2</f>
        <v>101.433879134609</v>
      </c>
      <c r="E37" s="680" t="n">
        <f aca="false">+(C37/$C$2)*$E$2</f>
        <v>105.822812764548</v>
      </c>
    </row>
    <row r="38" customFormat="false" ht="12.75" hidden="false" customHeight="false" outlineLevel="0" collapsed="false">
      <c r="A38" s="676" t="n">
        <v>35907</v>
      </c>
      <c r="B38" s="677" t="n">
        <v>30.7955</v>
      </c>
      <c r="C38" s="678" t="n">
        <v>285.22</v>
      </c>
      <c r="D38" s="679" t="n">
        <f aca="false">+(B38/$B$2)*$D$2</f>
        <v>101.254356546327</v>
      </c>
      <c r="E38" s="680" t="n">
        <f aca="false">+(C38/$C$2)*$E$2</f>
        <v>104.979940373219</v>
      </c>
    </row>
    <row r="39" customFormat="false" ht="12.75" hidden="false" customHeight="false" outlineLevel="0" collapsed="false">
      <c r="A39" s="676" t="n">
        <v>35908</v>
      </c>
      <c r="B39" s="677" t="n">
        <v>30.305</v>
      </c>
      <c r="C39" s="678" t="n">
        <v>281.92</v>
      </c>
      <c r="D39" s="679" t="n">
        <f aca="false">+(B39/$B$2)*$D$2</f>
        <v>99.641612415335</v>
      </c>
      <c r="E39" s="680" t="n">
        <f aca="false">+(C39/$C$2)*$E$2</f>
        <v>103.765320769995</v>
      </c>
    </row>
    <row r="40" customFormat="false" ht="12.75" hidden="false" customHeight="false" outlineLevel="0" collapsed="false">
      <c r="A40" s="676" t="n">
        <v>35909</v>
      </c>
      <c r="B40" s="677" t="n">
        <v>30.305</v>
      </c>
      <c r="C40" s="678" t="n">
        <v>280</v>
      </c>
      <c r="D40" s="679" t="n">
        <f aca="false">+(B40/$B$2)*$D$2</f>
        <v>99.641612415335</v>
      </c>
      <c r="E40" s="680" t="n">
        <f aca="false">+(C40/$C$2)*$E$2</f>
        <v>103.058633000847</v>
      </c>
    </row>
    <row r="41" customFormat="false" ht="12.75" hidden="false" customHeight="false" outlineLevel="0" collapsed="false">
      <c r="A41" s="676" t="n">
        <v>35912</v>
      </c>
      <c r="B41" s="677" t="n">
        <v>29.9235</v>
      </c>
      <c r="C41" s="678" t="n">
        <v>276.76</v>
      </c>
      <c r="D41" s="679" t="n">
        <f aca="false">+(B41/$B$2)*$D$2</f>
        <v>98.3872558690077</v>
      </c>
      <c r="E41" s="680" t="n">
        <f aca="false">+(C41/$C$2)*$E$2</f>
        <v>101.866097390408</v>
      </c>
    </row>
    <row r="42" customFormat="false" ht="12.75" hidden="false" customHeight="false" outlineLevel="0" collapsed="false">
      <c r="A42" s="676" t="n">
        <v>35913</v>
      </c>
      <c r="B42" s="677" t="n">
        <v>29.6509</v>
      </c>
      <c r="C42" s="678" t="n">
        <v>277.14</v>
      </c>
      <c r="D42" s="679" t="n">
        <f aca="false">+(B42/$B$2)*$D$2</f>
        <v>97.4909581113961</v>
      </c>
      <c r="E42" s="680" t="n">
        <f aca="false">+(C42/$C$2)*$E$2</f>
        <v>102.005962678052</v>
      </c>
    </row>
    <row r="43" customFormat="false" ht="12.75" hidden="false" customHeight="false" outlineLevel="0" collapsed="false">
      <c r="A43" s="676" t="n">
        <v>35914</v>
      </c>
      <c r="B43" s="677" t="n">
        <v>30.2143</v>
      </c>
      <c r="C43" s="678" t="n">
        <v>278.28</v>
      </c>
      <c r="D43" s="679" t="n">
        <f aca="false">+(B43/$B$2)*$D$2</f>
        <v>99.3433944893799</v>
      </c>
      <c r="E43" s="680" t="n">
        <f aca="false">+(C43/$C$2)*$E$2</f>
        <v>102.425558540984</v>
      </c>
    </row>
    <row r="44" customFormat="false" ht="12.75" hidden="false" customHeight="false" outlineLevel="0" collapsed="false">
      <c r="A44" s="676" t="n">
        <v>35915</v>
      </c>
      <c r="B44" s="677" t="n">
        <v>30.8219</v>
      </c>
      <c r="C44" s="678" t="n">
        <v>284.47</v>
      </c>
      <c r="D44" s="679" t="n">
        <f aca="false">+(B44/$B$2)*$D$2</f>
        <v>101.341158676925</v>
      </c>
      <c r="E44" s="680" t="n">
        <f aca="false">+(C44/$C$2)*$E$2</f>
        <v>104.703890463396</v>
      </c>
    </row>
    <row r="45" customFormat="false" ht="12.75" hidden="false" customHeight="false" outlineLevel="0" collapsed="false">
      <c r="A45" s="676" t="n">
        <v>35916</v>
      </c>
      <c r="B45" s="677" t="n">
        <v>30.5458</v>
      </c>
      <c r="C45" s="678" t="n">
        <v>283.56</v>
      </c>
      <c r="D45" s="679" t="n">
        <f aca="false">+(B45/$B$2)*$D$2</f>
        <v>100.43335306109</v>
      </c>
      <c r="E45" s="680" t="n">
        <f aca="false">+(C45/$C$2)*$E$2</f>
        <v>104.368949906143</v>
      </c>
    </row>
    <row r="46" customFormat="false" ht="12.75" hidden="false" customHeight="false" outlineLevel="0" collapsed="false">
      <c r="A46" s="676" t="n">
        <v>35919</v>
      </c>
      <c r="B46" s="677" t="n">
        <v>30.4353</v>
      </c>
      <c r="C46" s="678" t="n">
        <v>284.13</v>
      </c>
      <c r="D46" s="679" t="n">
        <f aca="false">+(B46/$B$2)*$D$2</f>
        <v>100.070033537187</v>
      </c>
      <c r="E46" s="680" t="n">
        <f aca="false">+(C46/$C$2)*$E$2</f>
        <v>104.578747837609</v>
      </c>
    </row>
    <row r="47" customFormat="false" ht="12.75" hidden="false" customHeight="false" outlineLevel="0" collapsed="false">
      <c r="A47" s="676" t="n">
        <v>35920</v>
      </c>
      <c r="B47" s="677" t="n">
        <v>30.0486</v>
      </c>
      <c r="C47" s="678" t="n">
        <v>284.7</v>
      </c>
      <c r="D47" s="679" t="n">
        <f aca="false">+(B47/$B$2)*$D$2</f>
        <v>98.7985796014993</v>
      </c>
      <c r="E47" s="680" t="n">
        <f aca="false">+(C47/$C$2)*$E$2</f>
        <v>104.788545769075</v>
      </c>
    </row>
    <row r="48" customFormat="false" ht="12.75" hidden="false" customHeight="false" outlineLevel="0" collapsed="false">
      <c r="A48" s="676" t="n">
        <v>35921</v>
      </c>
      <c r="B48" s="677" t="n">
        <v>29.5515</v>
      </c>
      <c r="C48" s="678" t="n">
        <v>282.64</v>
      </c>
      <c r="D48" s="679" t="n">
        <f aca="false">+(B48/$B$2)*$D$2</f>
        <v>97.1641349378576</v>
      </c>
      <c r="E48" s="680" t="n">
        <f aca="false">+(C48/$C$2)*$E$2</f>
        <v>104.030328683426</v>
      </c>
    </row>
    <row r="49" customFormat="false" ht="12.75" hidden="false" customHeight="false" outlineLevel="0" collapsed="false">
      <c r="A49" s="676" t="n">
        <v>35922</v>
      </c>
      <c r="B49" s="677" t="n">
        <v>29.4963</v>
      </c>
      <c r="C49" s="678" t="n">
        <v>281.49</v>
      </c>
      <c r="D49" s="679" t="n">
        <f aca="false">+(B49/$B$2)*$D$2</f>
        <v>96.9826395738805</v>
      </c>
      <c r="E49" s="680" t="n">
        <f aca="false">+(C49/$C$2)*$E$2</f>
        <v>103.60705215503</v>
      </c>
    </row>
    <row r="50" customFormat="false" ht="12.75" hidden="false" customHeight="false" outlineLevel="0" collapsed="false">
      <c r="A50" s="676" t="n">
        <v>35923</v>
      </c>
      <c r="B50" s="677" t="n">
        <v>29.5515</v>
      </c>
      <c r="C50" s="678" t="n">
        <v>282.38</v>
      </c>
      <c r="D50" s="679" t="n">
        <f aca="false">+(B50/$B$2)*$D$2</f>
        <v>97.1641349378576</v>
      </c>
      <c r="E50" s="680" t="n">
        <f aca="false">+(C50/$C$2)*$E$2</f>
        <v>103.934631381354</v>
      </c>
    </row>
    <row r="51" customFormat="false" ht="12.75" hidden="false" customHeight="false" outlineLevel="0" collapsed="false">
      <c r="A51" s="676" t="n">
        <v>35926</v>
      </c>
      <c r="B51" s="677" t="n">
        <v>29.441</v>
      </c>
      <c r="C51" s="678" t="n">
        <v>282.12</v>
      </c>
      <c r="D51" s="679" t="n">
        <f aca="false">+(B51/$B$2)*$D$2</f>
        <v>96.8008154139541</v>
      </c>
      <c r="E51" s="680" t="n">
        <f aca="false">+(C51/$C$2)*$E$2</f>
        <v>103.838934079282</v>
      </c>
    </row>
    <row r="52" customFormat="false" ht="12.75" hidden="false" customHeight="false" outlineLevel="0" collapsed="false">
      <c r="A52" s="676" t="n">
        <v>35927</v>
      </c>
      <c r="B52" s="677" t="n">
        <v>29.4963</v>
      </c>
      <c r="C52" s="678" t="n">
        <v>282.73</v>
      </c>
      <c r="D52" s="679" t="n">
        <f aca="false">+(B52/$B$2)*$D$2</f>
        <v>96.9826395738805</v>
      </c>
      <c r="E52" s="680" t="n">
        <f aca="false">+(C52/$C$2)*$E$2</f>
        <v>104.063454672605</v>
      </c>
    </row>
    <row r="53" customFormat="false" ht="12.75" hidden="false" customHeight="false" outlineLevel="0" collapsed="false">
      <c r="A53" s="676" t="n">
        <v>35928</v>
      </c>
      <c r="B53" s="677" t="n">
        <v>29.2753</v>
      </c>
      <c r="C53" s="678" t="n">
        <v>280.43</v>
      </c>
      <c r="D53" s="679" t="n">
        <f aca="false">+(B53/$B$2)*$D$2</f>
        <v>96.2560005260735</v>
      </c>
      <c r="E53" s="680" t="n">
        <f aca="false">+(C53/$C$2)*$E$2</f>
        <v>103.216901615812</v>
      </c>
    </row>
    <row r="54" customFormat="false" ht="12.75" hidden="false" customHeight="false" outlineLevel="0" collapsed="false">
      <c r="A54" s="676" t="n">
        <v>35929</v>
      </c>
      <c r="B54" s="677" t="n">
        <v>28.9991</v>
      </c>
      <c r="C54" s="678" t="n">
        <v>279.11</v>
      </c>
      <c r="D54" s="679" t="n">
        <f aca="false">+(B54/$B$2)*$D$2</f>
        <v>95.3478661142895</v>
      </c>
      <c r="E54" s="680" t="n">
        <f aca="false">+(C54/$C$2)*$E$2</f>
        <v>102.731053774522</v>
      </c>
    </row>
    <row r="55" customFormat="false" ht="12.75" hidden="false" customHeight="false" outlineLevel="0" collapsed="false">
      <c r="A55" s="676" t="n">
        <v>35930</v>
      </c>
      <c r="B55" s="677" t="n">
        <v>28.9991</v>
      </c>
      <c r="C55" s="678" t="n">
        <v>279.92</v>
      </c>
      <c r="D55" s="679" t="n">
        <f aca="false">+(B55/$B$2)*$D$2</f>
        <v>95.3478661142895</v>
      </c>
      <c r="E55" s="680" t="n">
        <f aca="false">+(C55/$C$2)*$E$2</f>
        <v>103.029187677132</v>
      </c>
    </row>
    <row r="56" customFormat="false" ht="12.75" hidden="false" customHeight="false" outlineLevel="0" collapsed="false">
      <c r="A56" s="676" t="n">
        <v>35933</v>
      </c>
      <c r="B56" s="677" t="n">
        <v>28.723</v>
      </c>
      <c r="C56" s="678" t="n">
        <v>279.43</v>
      </c>
      <c r="D56" s="679" t="n">
        <f aca="false">+(B56/$B$2)*$D$2</f>
        <v>94.4400604984546</v>
      </c>
      <c r="E56" s="680" t="n">
        <f aca="false">+(C56/$C$2)*$E$2</f>
        <v>102.848835069381</v>
      </c>
    </row>
    <row r="57" customFormat="false" ht="12.75" hidden="false" customHeight="false" outlineLevel="0" collapsed="false">
      <c r="A57" s="676" t="n">
        <v>35934</v>
      </c>
      <c r="B57" s="677" t="n">
        <v>28.6125</v>
      </c>
      <c r="C57" s="678" t="n">
        <v>278.6</v>
      </c>
      <c r="D57" s="679" t="n">
        <f aca="false">+(B57/$B$2)*$D$2</f>
        <v>94.0767409745512</v>
      </c>
      <c r="E57" s="680" t="n">
        <f aca="false">+(C57/$C$2)*$E$2</f>
        <v>102.543339835842</v>
      </c>
    </row>
    <row r="58" customFormat="false" ht="12.75" hidden="false" customHeight="false" outlineLevel="0" collapsed="false">
      <c r="A58" s="676" t="n">
        <v>35935</v>
      </c>
      <c r="B58" s="677" t="n">
        <v>28.8334</v>
      </c>
      <c r="C58" s="678" t="n">
        <v>281.29</v>
      </c>
      <c r="D58" s="679" t="n">
        <f aca="false">+(B58/$B$2)*$D$2</f>
        <v>94.8030512264089</v>
      </c>
      <c r="E58" s="680" t="n">
        <f aca="false">+(C58/$C$2)*$E$2</f>
        <v>103.533438845743</v>
      </c>
    </row>
    <row r="59" customFormat="false" ht="12.75" hidden="false" customHeight="false" outlineLevel="0" collapsed="false">
      <c r="A59" s="676" t="n">
        <v>35936</v>
      </c>
      <c r="B59" s="677" t="n">
        <v>28.723</v>
      </c>
      <c r="C59" s="678" t="n">
        <v>280.26</v>
      </c>
      <c r="D59" s="679" t="n">
        <f aca="false">+(B59/$B$2)*$D$2</f>
        <v>94.4400604984546</v>
      </c>
      <c r="E59" s="680" t="n">
        <f aca="false">+(C59/$C$2)*$E$2</f>
        <v>103.154330302919</v>
      </c>
    </row>
    <row r="60" customFormat="false" ht="12.75" hidden="false" customHeight="false" outlineLevel="0" collapsed="false">
      <c r="A60" s="676" t="n">
        <v>35937</v>
      </c>
      <c r="B60" s="677" t="n">
        <v>28.5573</v>
      </c>
      <c r="C60" s="678" t="n">
        <v>280.06</v>
      </c>
      <c r="D60" s="679" t="n">
        <f aca="false">+(B60/$B$2)*$D$2</f>
        <v>93.8952456105741</v>
      </c>
      <c r="E60" s="680" t="n">
        <f aca="false">+(C60/$C$2)*$E$2</f>
        <v>103.080716993632</v>
      </c>
    </row>
    <row r="61" customFormat="false" ht="12.75" hidden="false" customHeight="false" outlineLevel="0" collapsed="false">
      <c r="A61" s="676" t="n">
        <v>35941</v>
      </c>
      <c r="B61" s="677" t="n">
        <v>28.1154</v>
      </c>
      <c r="C61" s="678" t="n">
        <v>278.4</v>
      </c>
      <c r="D61" s="679" t="n">
        <f aca="false">+(B61/$B$2)*$D$2</f>
        <v>92.4422963109094</v>
      </c>
      <c r="E61" s="680" t="n">
        <f aca="false">+(C61/$C$2)*$E$2</f>
        <v>102.469726526556</v>
      </c>
    </row>
    <row r="62" customFormat="false" ht="12.75" hidden="false" customHeight="false" outlineLevel="0" collapsed="false">
      <c r="A62" s="676" t="n">
        <v>35942</v>
      </c>
      <c r="B62" s="677" t="n">
        <v>28.0049</v>
      </c>
      <c r="C62" s="678" t="n">
        <v>277.42</v>
      </c>
      <c r="D62" s="679" t="n">
        <f aca="false">+(B62/$B$2)*$D$2</f>
        <v>92.078976787006</v>
      </c>
      <c r="E62" s="680" t="n">
        <f aca="false">+(C62/$C$2)*$E$2</f>
        <v>102.109021311053</v>
      </c>
    </row>
    <row r="63" customFormat="false" ht="12.75" hidden="false" customHeight="false" outlineLevel="0" collapsed="false">
      <c r="A63" s="676" t="n">
        <v>35943</v>
      </c>
      <c r="B63" s="677" t="n">
        <v>28.2811</v>
      </c>
      <c r="C63" s="678" t="n">
        <v>280.78</v>
      </c>
      <c r="D63" s="679" t="n">
        <f aca="false">+(B63/$B$2)*$D$2</f>
        <v>92.98711119879</v>
      </c>
      <c r="E63" s="680" t="n">
        <f aca="false">+(C63/$C$2)*$E$2</f>
        <v>103.345724907063</v>
      </c>
    </row>
    <row r="64" customFormat="false" ht="12.75" hidden="false" customHeight="false" outlineLevel="0" collapsed="false">
      <c r="A64" s="676" t="n">
        <v>35944</v>
      </c>
      <c r="B64" s="677" t="n">
        <v>28.5573</v>
      </c>
      <c r="C64" s="678" t="n">
        <v>284.65</v>
      </c>
      <c r="D64" s="679" t="n">
        <f aca="false">+(B64/$B$2)*$D$2</f>
        <v>93.8952456105741</v>
      </c>
      <c r="E64" s="680" t="n">
        <f aca="false">+(C64/$C$2)*$E$2</f>
        <v>104.770142441753</v>
      </c>
    </row>
    <row r="65" customFormat="false" ht="12.75" hidden="false" customHeight="false" outlineLevel="0" collapsed="false">
      <c r="A65" s="676" t="n">
        <v>35947</v>
      </c>
      <c r="B65" s="677" t="n">
        <v>29.7725</v>
      </c>
      <c r="C65" s="678" t="n">
        <v>291.81</v>
      </c>
      <c r="D65" s="679" t="n">
        <f aca="false">+(B65/$B$2)*$D$2</f>
        <v>97.8907739856645</v>
      </c>
      <c r="E65" s="680" t="n">
        <f aca="false">+(C65/$C$2)*$E$2</f>
        <v>107.405498914204</v>
      </c>
    </row>
    <row r="66" customFormat="false" ht="12.75" hidden="false" customHeight="false" outlineLevel="0" collapsed="false">
      <c r="A66" s="676" t="n">
        <v>35948</v>
      </c>
      <c r="B66" s="677" t="n">
        <v>29.662</v>
      </c>
      <c r="C66" s="678" t="n">
        <v>291.3</v>
      </c>
      <c r="D66" s="679" t="n">
        <f aca="false">+(B66/$B$2)*$D$2</f>
        <v>97.527454461761</v>
      </c>
      <c r="E66" s="680" t="n">
        <f aca="false">+(C66/$C$2)*$E$2</f>
        <v>107.217784975524</v>
      </c>
    </row>
    <row r="67" customFormat="false" ht="12.75" hidden="false" customHeight="false" outlineLevel="0" collapsed="false">
      <c r="A67" s="676" t="n">
        <v>35949</v>
      </c>
      <c r="B67" s="677" t="n">
        <v>29.7172</v>
      </c>
      <c r="C67" s="678" t="n">
        <v>290.52</v>
      </c>
      <c r="D67" s="679" t="n">
        <f aca="false">+(B67/$B$2)*$D$2</f>
        <v>97.7089498257381</v>
      </c>
      <c r="E67" s="680" t="n">
        <f aca="false">+(C67/$C$2)*$E$2</f>
        <v>106.930693069307</v>
      </c>
    </row>
    <row r="68" customFormat="false" ht="12.75" hidden="false" customHeight="false" outlineLevel="0" collapsed="false">
      <c r="A68" s="676" t="n">
        <v>35950</v>
      </c>
      <c r="B68" s="677" t="n">
        <v>29.662</v>
      </c>
      <c r="C68" s="678" t="n">
        <v>290.18</v>
      </c>
      <c r="D68" s="679" t="n">
        <f aca="false">+(B68/$B$2)*$D$2</f>
        <v>97.527454461761</v>
      </c>
      <c r="E68" s="680" t="n">
        <f aca="false">+(C68/$C$2)*$E$2</f>
        <v>106.80555044352</v>
      </c>
    </row>
    <row r="69" customFormat="false" ht="12.75" hidden="false" customHeight="false" outlineLevel="0" collapsed="false">
      <c r="A69" s="676" t="n">
        <v>35951</v>
      </c>
      <c r="B69" s="677" t="n">
        <v>30.2696</v>
      </c>
      <c r="C69" s="678" t="n">
        <v>292.36</v>
      </c>
      <c r="D69" s="679" t="n">
        <f aca="false">+(B69/$B$2)*$D$2</f>
        <v>99.5252186493062</v>
      </c>
      <c r="E69" s="680" t="n">
        <f aca="false">+(C69/$C$2)*$E$2</f>
        <v>107.607935514741</v>
      </c>
    </row>
    <row r="70" customFormat="false" ht="12.75" hidden="false" customHeight="false" outlineLevel="0" collapsed="false">
      <c r="A70" s="676" t="n">
        <v>35954</v>
      </c>
      <c r="B70" s="677" t="n">
        <v>29.8829</v>
      </c>
      <c r="C70" s="678" t="n">
        <v>292.01</v>
      </c>
      <c r="D70" s="679" t="n">
        <f aca="false">+(B70/$B$2)*$D$2</f>
        <v>98.2537647136187</v>
      </c>
      <c r="E70" s="680" t="n">
        <f aca="false">+(C70/$C$2)*$E$2</f>
        <v>107.47911222349</v>
      </c>
    </row>
    <row r="71" customFormat="false" ht="12.75" hidden="false" customHeight="false" outlineLevel="0" collapsed="false">
      <c r="A71" s="676" t="n">
        <v>35955</v>
      </c>
      <c r="B71" s="677" t="n">
        <v>30.1039</v>
      </c>
      <c r="C71" s="678" t="n">
        <v>290.98</v>
      </c>
      <c r="D71" s="679" t="n">
        <f aca="false">+(B71/$B$2)*$D$2</f>
        <v>98.9804037614257</v>
      </c>
      <c r="E71" s="680" t="n">
        <f aca="false">+(C71/$C$2)*$E$2</f>
        <v>107.100003680665</v>
      </c>
    </row>
    <row r="72" customFormat="false" ht="12.75" hidden="false" customHeight="false" outlineLevel="0" collapsed="false">
      <c r="A72" s="676" t="n">
        <v>35956</v>
      </c>
      <c r="B72" s="677" t="n">
        <v>30.8219</v>
      </c>
      <c r="C72" s="678" t="n">
        <v>292.64</v>
      </c>
      <c r="D72" s="679" t="n">
        <f aca="false">+(B72/$B$2)*$D$2</f>
        <v>101.341158676925</v>
      </c>
      <c r="E72" s="680" t="n">
        <f aca="false">+(C72/$C$2)*$E$2</f>
        <v>107.710994147742</v>
      </c>
    </row>
    <row r="73" customFormat="false" ht="12.75" hidden="false" customHeight="false" outlineLevel="0" collapsed="false">
      <c r="A73" s="676" t="n">
        <v>35957</v>
      </c>
      <c r="B73" s="677" t="n">
        <v>31.0429</v>
      </c>
      <c r="C73" s="678" t="n">
        <v>293.79</v>
      </c>
      <c r="D73" s="679" t="n">
        <f aca="false">+(B73/$B$2)*$D$2</f>
        <v>102.067797724732</v>
      </c>
      <c r="E73" s="680" t="n">
        <f aca="false">+(C73/$C$2)*$E$2</f>
        <v>108.134270676138</v>
      </c>
    </row>
    <row r="74" customFormat="false" ht="12.75" hidden="false" customHeight="false" outlineLevel="0" collapsed="false">
      <c r="A74" s="676" t="n">
        <v>35958</v>
      </c>
      <c r="B74" s="677" t="n">
        <v>31.4295</v>
      </c>
      <c r="C74" s="678" t="n">
        <v>293.42</v>
      </c>
      <c r="D74" s="679" t="n">
        <f aca="false">+(B74/$B$2)*$D$2</f>
        <v>103.33892286447</v>
      </c>
      <c r="E74" s="680" t="n">
        <f aca="false">+(C74/$C$2)*$E$2</f>
        <v>107.998086053959</v>
      </c>
    </row>
    <row r="75" customFormat="false" ht="12.75" hidden="false" customHeight="false" outlineLevel="0" collapsed="false">
      <c r="A75" s="676" t="n">
        <v>35961</v>
      </c>
      <c r="B75" s="677" t="n">
        <v>31.3191</v>
      </c>
      <c r="C75" s="678" t="n">
        <v>292.01</v>
      </c>
      <c r="D75" s="679" t="n">
        <f aca="false">+(B75/$B$2)*$D$2</f>
        <v>102.975932136516</v>
      </c>
      <c r="E75" s="680" t="n">
        <f aca="false">+(C75/$C$2)*$E$2</f>
        <v>107.47911222349</v>
      </c>
    </row>
    <row r="76" customFormat="false" ht="12.75" hidden="false" customHeight="false" outlineLevel="0" collapsed="false">
      <c r="A76" s="676" t="n">
        <v>35962</v>
      </c>
      <c r="B76" s="677" t="n">
        <v>31.54</v>
      </c>
      <c r="C76" s="678" t="n">
        <v>290.99</v>
      </c>
      <c r="D76" s="679" t="n">
        <f aca="false">+(B76/$B$2)*$D$2</f>
        <v>103.702242388374</v>
      </c>
      <c r="E76" s="680" t="n">
        <f aca="false">+(C76/$C$2)*$E$2</f>
        <v>107.10368434613</v>
      </c>
    </row>
    <row r="77" customFormat="false" ht="12.75" hidden="false" customHeight="false" outlineLevel="0" collapsed="false">
      <c r="A77" s="676" t="n">
        <v>35963</v>
      </c>
      <c r="B77" s="677" t="n">
        <v>31.2086</v>
      </c>
      <c r="C77" s="678" t="n">
        <v>290.72</v>
      </c>
      <c r="D77" s="679" t="n">
        <f aca="false">+(B77/$B$2)*$D$2</f>
        <v>102.612612612613</v>
      </c>
      <c r="E77" s="680" t="n">
        <f aca="false">+(C77/$C$2)*$E$2</f>
        <v>107.004306378593</v>
      </c>
    </row>
    <row r="78" customFormat="false" ht="12.75" hidden="false" customHeight="false" outlineLevel="0" collapsed="false">
      <c r="A78" s="676" t="n">
        <v>35964</v>
      </c>
      <c r="B78" s="677" t="n">
        <v>31.2086</v>
      </c>
      <c r="C78" s="678" t="n">
        <v>291.02</v>
      </c>
      <c r="D78" s="679" t="n">
        <f aca="false">+(B78/$B$2)*$D$2</f>
        <v>102.612612612613</v>
      </c>
      <c r="E78" s="680" t="n">
        <f aca="false">+(C78/$C$2)*$E$2</f>
        <v>107.114726342523</v>
      </c>
    </row>
    <row r="79" customFormat="false" ht="12.75" hidden="false" customHeight="false" outlineLevel="0" collapsed="false">
      <c r="A79" s="676" t="n">
        <v>35965</v>
      </c>
      <c r="B79" s="677" t="n">
        <v>31.2638</v>
      </c>
      <c r="C79" s="678" t="n">
        <v>289.29</v>
      </c>
      <c r="D79" s="679" t="n">
        <f aca="false">+(B79/$B$2)*$D$2</f>
        <v>102.79410797659</v>
      </c>
      <c r="E79" s="680" t="n">
        <f aca="false">+(C79/$C$2)*$E$2</f>
        <v>106.477971217196</v>
      </c>
    </row>
    <row r="80" customFormat="false" ht="12.75" hidden="false" customHeight="false" outlineLevel="0" collapsed="false">
      <c r="A80" s="676" t="n">
        <v>35968</v>
      </c>
      <c r="B80" s="677" t="n">
        <v>30.8772</v>
      </c>
      <c r="C80" s="678" t="n">
        <v>289.02</v>
      </c>
      <c r="D80" s="679" t="n">
        <f aca="false">+(B80/$B$2)*$D$2</f>
        <v>101.522982836851</v>
      </c>
      <c r="E80" s="680" t="n">
        <f aca="false">+(C80/$C$2)*$E$2</f>
        <v>106.37859324966</v>
      </c>
    </row>
    <row r="81" customFormat="false" ht="12.75" hidden="false" customHeight="false" outlineLevel="0" collapsed="false">
      <c r="A81" s="676" t="n">
        <v>35969</v>
      </c>
      <c r="B81" s="677" t="n">
        <v>30.8772</v>
      </c>
      <c r="C81" s="678" t="n">
        <v>290.25</v>
      </c>
      <c r="D81" s="679" t="n">
        <f aca="false">+(B81/$B$2)*$D$2</f>
        <v>101.522982836851</v>
      </c>
      <c r="E81" s="680" t="n">
        <f aca="false">+(C81/$C$2)*$E$2</f>
        <v>106.83131510177</v>
      </c>
    </row>
    <row r="82" customFormat="false" ht="12.75" hidden="false" customHeight="false" outlineLevel="0" collapsed="false">
      <c r="A82" s="676" t="n">
        <v>35970</v>
      </c>
      <c r="B82" s="677" t="n">
        <v>30.8772</v>
      </c>
      <c r="C82" s="678" t="n">
        <v>290.25</v>
      </c>
      <c r="D82" s="679" t="n">
        <f aca="false">+(B82/$B$2)*$D$2</f>
        <v>101.522982836851</v>
      </c>
      <c r="E82" s="680" t="n">
        <f aca="false">+(C82/$C$2)*$E$2</f>
        <v>106.83131510177</v>
      </c>
    </row>
    <row r="83" customFormat="false" ht="12.75" hidden="false" customHeight="false" outlineLevel="0" collapsed="false">
      <c r="A83" s="676" t="n">
        <v>35971</v>
      </c>
      <c r="B83" s="677" t="n">
        <v>30.3248</v>
      </c>
      <c r="C83" s="678" t="n">
        <v>286.92</v>
      </c>
      <c r="D83" s="679" t="n">
        <f aca="false">+(B83/$B$2)*$D$2</f>
        <v>99.7067140132834</v>
      </c>
      <c r="E83" s="680" t="n">
        <f aca="false">+(C83/$C$2)*$E$2</f>
        <v>105.605653502153</v>
      </c>
    </row>
    <row r="84" customFormat="false" ht="12.75" hidden="false" customHeight="false" outlineLevel="0" collapsed="false">
      <c r="A84" s="676" t="n">
        <v>35972</v>
      </c>
      <c r="B84" s="677" t="n">
        <v>30.6562</v>
      </c>
      <c r="C84" s="678" t="n">
        <v>288.6</v>
      </c>
      <c r="D84" s="679" t="n">
        <f aca="false">+(B84/$B$2)*$D$2</f>
        <v>100.796343789045</v>
      </c>
      <c r="E84" s="680" t="n">
        <f aca="false">+(C84/$C$2)*$E$2</f>
        <v>106.224005300158</v>
      </c>
    </row>
    <row r="85" customFormat="false" ht="12.75" hidden="false" customHeight="false" outlineLevel="0" collapsed="false">
      <c r="A85" s="676" t="n">
        <v>35975</v>
      </c>
      <c r="B85" s="677" t="n">
        <v>31.0429</v>
      </c>
      <c r="C85" s="678" t="n">
        <v>292.46</v>
      </c>
      <c r="D85" s="679" t="n">
        <f aca="false">+(B85/$B$2)*$D$2</f>
        <v>102.067797724732</v>
      </c>
      <c r="E85" s="680" t="n">
        <f aca="false">+(C85/$C$2)*$E$2</f>
        <v>107.644742169384</v>
      </c>
    </row>
    <row r="86" customFormat="false" ht="12.75" hidden="false" customHeight="false" outlineLevel="0" collapsed="false">
      <c r="A86" s="676" t="n">
        <v>35976</v>
      </c>
      <c r="B86" s="677" t="n">
        <v>30.9324</v>
      </c>
      <c r="C86" s="678" t="n">
        <v>293.87</v>
      </c>
      <c r="D86" s="679" t="n">
        <f aca="false">+(B86/$B$2)*$D$2</f>
        <v>101.704478200829</v>
      </c>
      <c r="E86" s="680" t="n">
        <f aca="false">+(C86/$C$2)*$E$2</f>
        <v>108.163715999853</v>
      </c>
    </row>
    <row r="87" customFormat="false" ht="12.75" hidden="false" customHeight="false" outlineLevel="0" collapsed="false">
      <c r="A87" s="676" t="n">
        <v>35977</v>
      </c>
      <c r="B87" s="677" t="n">
        <v>31.0981</v>
      </c>
      <c r="C87" s="678" t="n">
        <v>294.14</v>
      </c>
      <c r="D87" s="679" t="n">
        <f aca="false">+(B87/$B$2)*$D$2</f>
        <v>102.249293088709</v>
      </c>
      <c r="E87" s="680" t="n">
        <f aca="false">+(C87/$C$2)*$E$2</f>
        <v>108.263093967389</v>
      </c>
    </row>
    <row r="88" customFormat="false" ht="12.75" hidden="false" customHeight="false" outlineLevel="0" collapsed="false">
      <c r="A88" s="676" t="n">
        <v>35978</v>
      </c>
      <c r="B88" s="677" t="n">
        <v>30.8772</v>
      </c>
      <c r="C88" s="678" t="n">
        <v>293.84</v>
      </c>
      <c r="D88" s="679" t="n">
        <f aca="false">+(B88/$B$2)*$D$2</f>
        <v>101.522982836851</v>
      </c>
      <c r="E88" s="680" t="n">
        <f aca="false">+(C88/$C$2)*$E$2</f>
        <v>108.15267400346</v>
      </c>
    </row>
    <row r="89" customFormat="false" ht="12.75" hidden="false" customHeight="false" outlineLevel="0" collapsed="false">
      <c r="A89" s="676" t="n">
        <v>35982</v>
      </c>
      <c r="B89" s="677" t="n">
        <v>29.9382</v>
      </c>
      <c r="C89" s="678" t="n">
        <v>295.4</v>
      </c>
      <c r="D89" s="679" t="n">
        <f aca="false">+(B89/$B$2)*$D$2</f>
        <v>98.4355888735451</v>
      </c>
      <c r="E89" s="680" t="n">
        <f aca="false">+(C89/$C$2)*$E$2</f>
        <v>108.726857815893</v>
      </c>
    </row>
    <row r="90" customFormat="false" ht="12.75" hidden="false" customHeight="false" outlineLevel="0" collapsed="false">
      <c r="A90" s="676" t="n">
        <v>35983</v>
      </c>
      <c r="B90" s="677" t="n">
        <v>29.7172</v>
      </c>
      <c r="C90" s="678" t="n">
        <v>292.73</v>
      </c>
      <c r="D90" s="679" t="n">
        <f aca="false">+(B90/$B$2)*$D$2</f>
        <v>97.7089498257381</v>
      </c>
      <c r="E90" s="680" t="n">
        <f aca="false">+(C90/$C$2)*$E$2</f>
        <v>107.744120136921</v>
      </c>
    </row>
    <row r="91" customFormat="false" ht="12.75" hidden="false" customHeight="false" outlineLevel="0" collapsed="false">
      <c r="A91" s="676" t="n">
        <v>35984</v>
      </c>
      <c r="B91" s="677" t="n">
        <v>29.5515</v>
      </c>
      <c r="C91" s="678" t="n">
        <v>292.85</v>
      </c>
      <c r="D91" s="679" t="n">
        <f aca="false">+(B91/$B$2)*$D$2</f>
        <v>97.1641349378576</v>
      </c>
      <c r="E91" s="680" t="n">
        <f aca="false">+(C91/$C$2)*$E$2</f>
        <v>107.788288122493</v>
      </c>
    </row>
    <row r="92" customFormat="false" ht="12.75" hidden="false" customHeight="false" outlineLevel="0" collapsed="false">
      <c r="A92" s="676" t="n">
        <v>35985</v>
      </c>
      <c r="B92" s="677" t="n">
        <v>29.2753</v>
      </c>
      <c r="C92" s="678" t="n">
        <v>290.72</v>
      </c>
      <c r="D92" s="679" t="n">
        <f aca="false">+(B92/$B$2)*$D$2</f>
        <v>96.2560005260735</v>
      </c>
      <c r="E92" s="680" t="n">
        <f aca="false">+(C92/$C$2)*$E$2</f>
        <v>107.004306378593</v>
      </c>
    </row>
    <row r="93" customFormat="false" ht="12.75" hidden="false" customHeight="false" outlineLevel="0" collapsed="false">
      <c r="A93" s="676" t="n">
        <v>35986</v>
      </c>
      <c r="B93" s="677" t="n">
        <v>28.7782</v>
      </c>
      <c r="C93" s="678" t="n">
        <v>291.11</v>
      </c>
      <c r="D93" s="679" t="n">
        <f aca="false">+(B93/$B$2)*$D$2</f>
        <v>94.6215558624318</v>
      </c>
      <c r="E93" s="680" t="n">
        <f aca="false">+(C93/$C$2)*$E$2</f>
        <v>107.147852331702</v>
      </c>
    </row>
    <row r="94" customFormat="false" ht="12.75" hidden="false" customHeight="false" outlineLevel="0" collapsed="false">
      <c r="A94" s="676" t="n">
        <v>35989</v>
      </c>
      <c r="B94" s="677" t="n">
        <v>28.6677</v>
      </c>
      <c r="C94" s="678" t="n">
        <v>290.04</v>
      </c>
      <c r="D94" s="679" t="n">
        <f aca="false">+(B94/$B$2)*$D$2</f>
        <v>94.2582363385283</v>
      </c>
      <c r="E94" s="680" t="n">
        <f aca="false">+(C94/$C$2)*$E$2</f>
        <v>106.75402112702</v>
      </c>
    </row>
    <row r="95" customFormat="false" ht="12.75" hidden="false" customHeight="false" outlineLevel="0" collapsed="false">
      <c r="A95" s="676" t="n">
        <v>35990</v>
      </c>
      <c r="B95" s="677" t="n">
        <v>28.8334</v>
      </c>
      <c r="C95" s="678" t="n">
        <v>290.99</v>
      </c>
      <c r="D95" s="679" t="n">
        <f aca="false">+(B95/$B$2)*$D$2</f>
        <v>94.8030512264089</v>
      </c>
      <c r="E95" s="680" t="n">
        <f aca="false">+(C95/$C$2)*$E$2</f>
        <v>107.10368434613</v>
      </c>
    </row>
    <row r="96" customFormat="false" ht="12.75" hidden="false" customHeight="false" outlineLevel="0" collapsed="false">
      <c r="A96" s="676" t="n">
        <v>35991</v>
      </c>
      <c r="B96" s="677" t="n">
        <v>28.723</v>
      </c>
      <c r="C96" s="678" t="n">
        <v>290.87</v>
      </c>
      <c r="D96" s="679" t="n">
        <f aca="false">+(B96/$B$2)*$D$2</f>
        <v>94.4400604984546</v>
      </c>
      <c r="E96" s="680" t="n">
        <f aca="false">+(C96/$C$2)*$E$2</f>
        <v>107.059516360558</v>
      </c>
    </row>
    <row r="97" customFormat="false" ht="12.75" hidden="false" customHeight="false" outlineLevel="0" collapsed="false">
      <c r="A97" s="676" t="n">
        <v>35992</v>
      </c>
      <c r="B97" s="677" t="n">
        <v>28.7782</v>
      </c>
      <c r="C97" s="678" t="n">
        <v>292.31</v>
      </c>
      <c r="D97" s="679" t="n">
        <f aca="false">+(B97/$B$2)*$D$2</f>
        <v>94.6215558624318</v>
      </c>
      <c r="E97" s="680" t="n">
        <f aca="false">+(C97/$C$2)*$E$2</f>
        <v>107.58953218742</v>
      </c>
    </row>
    <row r="98" customFormat="false" ht="12.75" hidden="false" customHeight="false" outlineLevel="0" collapsed="false">
      <c r="A98" s="676" t="n">
        <v>35993</v>
      </c>
      <c r="B98" s="677" t="n">
        <v>28.8887</v>
      </c>
      <c r="C98" s="678" t="n">
        <v>291.89</v>
      </c>
      <c r="D98" s="679" t="n">
        <f aca="false">+(B98/$B$2)*$D$2</f>
        <v>94.9848753863352</v>
      </c>
      <c r="E98" s="680" t="n">
        <f aca="false">+(C98/$C$2)*$E$2</f>
        <v>107.434944237918</v>
      </c>
    </row>
    <row r="99" customFormat="false" ht="12.75" hidden="false" customHeight="false" outlineLevel="0" collapsed="false">
      <c r="A99" s="676" t="n">
        <v>35996</v>
      </c>
      <c r="B99" s="677" t="n">
        <v>28.8334</v>
      </c>
      <c r="C99" s="678" t="n">
        <v>289.95</v>
      </c>
      <c r="D99" s="679" t="n">
        <f aca="false">+(B99/$B$2)*$D$2</f>
        <v>94.8030512264089</v>
      </c>
      <c r="E99" s="680" t="n">
        <f aca="false">+(C99/$C$2)*$E$2</f>
        <v>106.720895137841</v>
      </c>
    </row>
    <row r="100" customFormat="false" ht="12.75" hidden="false" customHeight="false" outlineLevel="0" collapsed="false">
      <c r="A100" s="676" t="n">
        <v>35997</v>
      </c>
      <c r="B100" s="677" t="n">
        <v>28.5573</v>
      </c>
      <c r="C100" s="678" t="n">
        <v>288.24</v>
      </c>
      <c r="D100" s="679" t="n">
        <f aca="false">+(B100/$B$2)*$D$2</f>
        <v>93.8952456105741</v>
      </c>
      <c r="E100" s="680" t="n">
        <f aca="false">+(C100/$C$2)*$E$2</f>
        <v>106.091501343443</v>
      </c>
    </row>
    <row r="101" customFormat="false" ht="12.75" hidden="false" customHeight="false" outlineLevel="0" collapsed="false">
      <c r="A101" s="676" t="n">
        <v>35998</v>
      </c>
      <c r="B101" s="677" t="n">
        <v>28.7782</v>
      </c>
      <c r="C101" s="678" t="n">
        <v>289.2</v>
      </c>
      <c r="D101" s="679" t="n">
        <f aca="false">+(B101/$B$2)*$D$2</f>
        <v>94.6215558624318</v>
      </c>
      <c r="E101" s="680" t="n">
        <f aca="false">+(C101/$C$2)*$E$2</f>
        <v>106.444845228017</v>
      </c>
    </row>
    <row r="102" customFormat="false" ht="12.75" hidden="false" customHeight="false" outlineLevel="0" collapsed="false">
      <c r="A102" s="676" t="n">
        <v>35999</v>
      </c>
      <c r="B102" s="677" t="n">
        <v>28.2811</v>
      </c>
      <c r="C102" s="678" t="n">
        <v>287.52</v>
      </c>
      <c r="D102" s="679" t="n">
        <f aca="false">+(B102/$B$2)*$D$2</f>
        <v>92.98711119879</v>
      </c>
      <c r="E102" s="680" t="n">
        <f aca="false">+(C102/$C$2)*$E$2</f>
        <v>105.826493430012</v>
      </c>
    </row>
    <row r="103" customFormat="false" ht="12.75" hidden="false" customHeight="false" outlineLevel="0" collapsed="false">
      <c r="A103" s="676" t="n">
        <v>36000</v>
      </c>
      <c r="B103" s="677" t="n">
        <v>28.2811</v>
      </c>
      <c r="C103" s="678" t="n">
        <v>286.08</v>
      </c>
      <c r="D103" s="679" t="n">
        <f aca="false">+(B103/$B$2)*$D$2</f>
        <v>92.98711119879</v>
      </c>
      <c r="E103" s="680" t="n">
        <f aca="false">+(C103/$C$2)*$E$2</f>
        <v>105.296477603151</v>
      </c>
    </row>
    <row r="104" customFormat="false" ht="12.75" hidden="false" customHeight="false" outlineLevel="0" collapsed="false">
      <c r="A104" s="676" t="n">
        <v>36003</v>
      </c>
      <c r="B104" s="677" t="n">
        <v>28.2811</v>
      </c>
      <c r="C104" s="678" t="n">
        <v>286.32</v>
      </c>
      <c r="D104" s="679" t="n">
        <f aca="false">+(B104/$B$2)*$D$2</f>
        <v>92.98711119879</v>
      </c>
      <c r="E104" s="680" t="n">
        <f aca="false">+(C104/$C$2)*$E$2</f>
        <v>105.384813574294</v>
      </c>
    </row>
    <row r="105" customFormat="false" ht="12.75" hidden="false" customHeight="false" outlineLevel="0" collapsed="false">
      <c r="A105" s="676" t="n">
        <v>36004</v>
      </c>
      <c r="B105" s="677" t="n">
        <v>28.3915</v>
      </c>
      <c r="C105" s="678" t="n">
        <v>283.83</v>
      </c>
      <c r="D105" s="679" t="n">
        <f aca="false">+(B105/$B$2)*$D$2</f>
        <v>93.3501019267443</v>
      </c>
      <c r="E105" s="680" t="n">
        <f aca="false">+(C105/$C$2)*$E$2</f>
        <v>104.46832787368</v>
      </c>
    </row>
    <row r="106" customFormat="false" ht="12.75" hidden="false" customHeight="false" outlineLevel="0" collapsed="false">
      <c r="A106" s="682" t="n">
        <v>36005</v>
      </c>
      <c r="B106" s="627" t="n">
        <v>28.2258</v>
      </c>
      <c r="C106" s="683" t="n">
        <v>282.04</v>
      </c>
      <c r="D106" s="679" t="n">
        <f aca="false">+(B106/$B$2)*$D$2</f>
        <v>92.8052870388637</v>
      </c>
      <c r="E106" s="680" t="n">
        <f aca="false">+(C106/$C$2)*$E$2</f>
        <v>103.809488755567</v>
      </c>
    </row>
    <row r="107" customFormat="false" ht="12.75" hidden="false" customHeight="false" outlineLevel="0" collapsed="false">
      <c r="A107" s="682" t="n">
        <v>36006</v>
      </c>
      <c r="B107" s="627" t="n">
        <v>28.3363</v>
      </c>
      <c r="C107" s="683" t="n">
        <v>284.85</v>
      </c>
      <c r="D107" s="679" t="n">
        <f aca="false">+(B107/$B$2)*$D$2</f>
        <v>93.1686065627671</v>
      </c>
      <c r="E107" s="680" t="n">
        <f aca="false">+(C107/$C$2)*$E$2</f>
        <v>104.84375575104</v>
      </c>
    </row>
    <row r="108" customFormat="false" ht="12.75" hidden="false" customHeight="false" outlineLevel="0" collapsed="false">
      <c r="A108" s="682" t="n">
        <v>36007</v>
      </c>
      <c r="B108" s="627" t="n">
        <v>27.8944</v>
      </c>
      <c r="C108" s="683" t="n">
        <v>278.65</v>
      </c>
      <c r="D108" s="679" t="n">
        <f aca="false">+(B108/$B$2)*$D$2</f>
        <v>91.7156572631025</v>
      </c>
      <c r="E108" s="680" t="n">
        <f aca="false">+(C108/$C$2)*$E$2</f>
        <v>102.561743163164</v>
      </c>
    </row>
    <row r="109" customFormat="false" ht="12.75" hidden="false" customHeight="false" outlineLevel="0" collapsed="false">
      <c r="A109" s="682" t="n">
        <v>36010</v>
      </c>
      <c r="B109" s="627" t="n">
        <v>28.1154</v>
      </c>
      <c r="C109" s="683" t="n">
        <v>280.33</v>
      </c>
      <c r="D109" s="679" t="n">
        <f aca="false">+(B109/$B$2)*$D$2</f>
        <v>92.4422963109094</v>
      </c>
      <c r="E109" s="680" t="n">
        <f aca="false">+(C109/$C$2)*$E$2</f>
        <v>103.180094961169</v>
      </c>
    </row>
    <row r="110" customFormat="false" ht="12.75" hidden="false" customHeight="false" outlineLevel="0" collapsed="false">
      <c r="A110" s="682" t="n">
        <v>36011</v>
      </c>
      <c r="B110" s="627" t="n">
        <v>27.7904</v>
      </c>
      <c r="C110" s="683" t="n">
        <v>273.74</v>
      </c>
      <c r="D110" s="679" t="n">
        <f aca="false">+(B110/$B$2)*$D$2</f>
        <v>91.3737094758993</v>
      </c>
      <c r="E110" s="680" t="n">
        <f aca="false">+(C110/$C$2)*$E$2</f>
        <v>100.754536420185</v>
      </c>
    </row>
    <row r="111" customFormat="false" ht="12.75" hidden="false" customHeight="false" outlineLevel="0" collapsed="false">
      <c r="A111" s="682" t="n">
        <v>36012</v>
      </c>
      <c r="B111" s="627" t="n">
        <v>28.2947</v>
      </c>
      <c r="C111" s="683" t="n">
        <v>273.92</v>
      </c>
      <c r="D111" s="679" t="n">
        <f aca="false">+(B111/$B$2)*$D$2</f>
        <v>93.0318274478858</v>
      </c>
      <c r="E111" s="680" t="n">
        <f aca="false">+(C111/$C$2)*$E$2</f>
        <v>100.820788398542</v>
      </c>
    </row>
    <row r="112" customFormat="false" ht="12.75" hidden="false" customHeight="false" outlineLevel="0" collapsed="false">
      <c r="A112" s="682" t="n">
        <v>36013</v>
      </c>
      <c r="B112" s="627" t="n">
        <v>28.3507</v>
      </c>
      <c r="C112" s="683" t="n">
        <v>273.59</v>
      </c>
      <c r="D112" s="679" t="n">
        <f aca="false">+(B112/$B$2)*$D$2</f>
        <v>93.2159531794568</v>
      </c>
      <c r="E112" s="680" t="n">
        <f aca="false">+(C112/$C$2)*$E$2</f>
        <v>100.69932643822</v>
      </c>
    </row>
    <row r="113" customFormat="false" ht="12.75" hidden="false" customHeight="false" outlineLevel="0" collapsed="false">
      <c r="A113" s="682" t="n">
        <v>36014</v>
      </c>
      <c r="B113" s="627" t="n">
        <v>28.6308</v>
      </c>
      <c r="C113" s="683" t="n">
        <v>277.06</v>
      </c>
      <c r="D113" s="679" t="n">
        <f aca="false">+(B113/$B$2)*$D$2</f>
        <v>94.136910633261</v>
      </c>
      <c r="E113" s="680" t="n">
        <f aca="false">+(C113/$C$2)*$E$2</f>
        <v>101.976517354338</v>
      </c>
    </row>
    <row r="114" customFormat="false" ht="12.75" hidden="false" customHeight="false" outlineLevel="0" collapsed="false">
      <c r="A114" s="682" t="n">
        <v>36017</v>
      </c>
      <c r="B114" s="627" t="n">
        <v>28.4627</v>
      </c>
      <c r="C114" s="683" t="n">
        <v>276.67</v>
      </c>
      <c r="D114" s="679" t="n">
        <f aca="false">+(B114/$B$2)*$D$2</f>
        <v>93.5842046425988</v>
      </c>
      <c r="E114" s="680" t="n">
        <f aca="false">+(C114/$C$2)*$E$2</f>
        <v>101.832971401229</v>
      </c>
    </row>
    <row r="115" customFormat="false" ht="12.75" hidden="false" customHeight="false" outlineLevel="0" collapsed="false">
      <c r="A115" s="682" t="n">
        <v>36018</v>
      </c>
      <c r="B115" s="627" t="n">
        <v>28.2386</v>
      </c>
      <c r="C115" s="683" t="n">
        <v>274.72</v>
      </c>
      <c r="D115" s="679" t="n">
        <f aca="false">+(B115/$B$2)*$D$2</f>
        <v>92.8473729203656</v>
      </c>
      <c r="E115" s="680" t="n">
        <f aca="false">+(C115/$C$2)*$E$2</f>
        <v>101.115241635688</v>
      </c>
    </row>
    <row r="116" customFormat="false" ht="12.75" hidden="false" customHeight="false" outlineLevel="0" collapsed="false">
      <c r="A116" s="682" t="n">
        <v>36019</v>
      </c>
      <c r="B116" s="627" t="n">
        <v>28.967</v>
      </c>
      <c r="C116" s="683" t="n">
        <v>280.81</v>
      </c>
      <c r="D116" s="679" t="n">
        <f aca="false">+(B116/$B$2)*$D$2</f>
        <v>95.2423226145854</v>
      </c>
      <c r="E116" s="680" t="n">
        <f aca="false">+(C116/$C$2)*$E$2</f>
        <v>103.356766903456</v>
      </c>
    </row>
    <row r="117" customFormat="false" ht="12.75" hidden="false" customHeight="false" outlineLevel="0" collapsed="false">
      <c r="A117" s="682" t="n">
        <v>36020</v>
      </c>
      <c r="B117" s="627" t="n">
        <v>28.6869</v>
      </c>
      <c r="C117" s="683" t="n">
        <v>279.07</v>
      </c>
      <c r="D117" s="679" t="n">
        <f aca="false">+(B117/$B$2)*$D$2</f>
        <v>94.3213651607812</v>
      </c>
      <c r="E117" s="680" t="n">
        <f aca="false">+(C117/$C$2)*$E$2</f>
        <v>102.716331112665</v>
      </c>
    </row>
    <row r="118" customFormat="false" ht="12.75" hidden="false" customHeight="false" outlineLevel="0" collapsed="false">
      <c r="A118" s="682" t="n">
        <v>36021</v>
      </c>
      <c r="B118" s="627" t="n">
        <v>28.4627</v>
      </c>
      <c r="C118" s="683" t="n">
        <v>277.51</v>
      </c>
      <c r="D118" s="679" t="n">
        <f aca="false">+(B118/$B$2)*$D$2</f>
        <v>93.5842046425988</v>
      </c>
      <c r="E118" s="680" t="n">
        <f aca="false">+(C118/$C$2)*$E$2</f>
        <v>102.142147300232</v>
      </c>
    </row>
    <row r="119" customFormat="false" ht="12.75" hidden="false" customHeight="false" outlineLevel="0" collapsed="false">
      <c r="A119" s="682" t="n">
        <v>36024</v>
      </c>
      <c r="B119" s="627" t="n">
        <v>29.2471</v>
      </c>
      <c r="C119" s="683" t="n">
        <v>281.11</v>
      </c>
      <c r="D119" s="679" t="n">
        <f aca="false">+(B119/$B$2)*$D$2</f>
        <v>96.1632800683896</v>
      </c>
      <c r="E119" s="680" t="n">
        <f aca="false">+(C119/$C$2)*$E$2</f>
        <v>103.467186867386</v>
      </c>
    </row>
    <row r="120" customFormat="false" ht="12.75" hidden="false" customHeight="false" outlineLevel="0" collapsed="false">
      <c r="A120" s="682" t="n">
        <v>36025</v>
      </c>
      <c r="B120" s="683" t="n">
        <v>29.2471</v>
      </c>
      <c r="C120" s="683" t="n">
        <v>281.23</v>
      </c>
      <c r="D120" s="679" t="n">
        <f aca="false">+(B120/$B$2)*$D$2</f>
        <v>96.1632800683896</v>
      </c>
      <c r="E120" s="680" t="n">
        <f aca="false">+(C120/$C$2)*$E$2</f>
        <v>103.511354852957</v>
      </c>
    </row>
    <row r="121" customFormat="false" ht="12.75" hidden="false" customHeight="false" outlineLevel="0" collapsed="false">
      <c r="A121" s="682" t="n">
        <v>36026</v>
      </c>
      <c r="B121" s="683" t="n">
        <v>29.5833</v>
      </c>
      <c r="C121" s="683" t="n">
        <v>279.97</v>
      </c>
      <c r="D121" s="679" t="n">
        <f aca="false">+(B121/$B$2)*$D$2</f>
        <v>97.268692049714</v>
      </c>
      <c r="E121" s="680" t="n">
        <f aca="false">+(C121/$C$2)*$E$2</f>
        <v>103.047591004454</v>
      </c>
    </row>
    <row r="122" customFormat="false" ht="12.75" hidden="false" customHeight="false" outlineLevel="0" collapsed="false">
      <c r="A122" s="682" t="n">
        <v>36027</v>
      </c>
      <c r="B122" s="683" t="n">
        <v>29.5273</v>
      </c>
      <c r="C122" s="683" t="n">
        <v>280.09</v>
      </c>
      <c r="D122" s="679" t="n">
        <f aca="false">+(B122/$B$2)*$D$2</f>
        <v>97.084566318143</v>
      </c>
      <c r="E122" s="680" t="n">
        <f aca="false">+(C122/$C$2)*$E$2</f>
        <v>103.091758990025</v>
      </c>
    </row>
    <row r="123" customFormat="false" ht="12.75" hidden="false" customHeight="false" outlineLevel="0" collapsed="false">
      <c r="A123" s="682" t="n">
        <v>36028</v>
      </c>
      <c r="B123" s="683" t="n">
        <v>30.3677</v>
      </c>
      <c r="C123" s="683" t="n">
        <v>282.66</v>
      </c>
      <c r="D123" s="679" t="n">
        <f aca="false">+(B123/$B$2)*$D$2</f>
        <v>99.8477674755047</v>
      </c>
      <c r="E123" s="680" t="n">
        <f aca="false">+(C123/$C$2)*$E$2</f>
        <v>104.037690014355</v>
      </c>
    </row>
    <row r="124" customFormat="false" ht="12.75" hidden="false" customHeight="false" outlineLevel="0" collapsed="false">
      <c r="A124" s="682" t="n">
        <v>36031</v>
      </c>
      <c r="B124" s="683" t="n">
        <v>31.1521</v>
      </c>
      <c r="C124" s="683" t="n">
        <v>284.22</v>
      </c>
      <c r="D124" s="679" t="n">
        <f aca="false">+(B124/$B$2)*$D$2</f>
        <v>102.426842901295</v>
      </c>
      <c r="E124" s="680" t="n">
        <f aca="false">+(C124/$C$2)*$E$2</f>
        <v>104.611873826788</v>
      </c>
    </row>
    <row r="125" customFormat="false" ht="12.75" hidden="false" customHeight="false" outlineLevel="0" collapsed="false">
      <c r="A125" s="682" t="n">
        <v>36032</v>
      </c>
      <c r="B125" s="683" t="n">
        <v>30.7039</v>
      </c>
      <c r="C125" s="683" t="n">
        <v>283.53</v>
      </c>
      <c r="D125" s="679" t="n">
        <f aca="false">+(B125/$B$2)*$D$2</f>
        <v>100.953179456829</v>
      </c>
      <c r="E125" s="680" t="n">
        <f aca="false">+(C125/$C$2)*$E$2</f>
        <v>104.35790790975</v>
      </c>
    </row>
    <row r="126" customFormat="false" ht="12.75" hidden="false" customHeight="false" outlineLevel="0" collapsed="false">
      <c r="A126" s="682" t="n">
        <v>36033</v>
      </c>
      <c r="B126" s="683" t="n">
        <v>31.0961</v>
      </c>
      <c r="C126" s="683" t="n">
        <v>284.25</v>
      </c>
      <c r="D126" s="679" t="n">
        <f aca="false">+(B126/$B$2)*$D$2</f>
        <v>102.242717169724</v>
      </c>
      <c r="E126" s="680" t="n">
        <f aca="false">+(C126/$C$2)*$E$2</f>
        <v>104.622915823181</v>
      </c>
    </row>
    <row r="127" customFormat="false" ht="12.75" hidden="false" customHeight="false" outlineLevel="0" collapsed="false">
      <c r="A127" s="682" t="n">
        <v>36034</v>
      </c>
      <c r="B127" s="683" t="n">
        <v>30.4798</v>
      </c>
      <c r="C127" s="683" t="n">
        <v>281.38</v>
      </c>
      <c r="D127" s="679" t="n">
        <f aca="false">+(B127/$B$2)*$D$2</f>
        <v>100.216347734596</v>
      </c>
      <c r="E127" s="680" t="n">
        <f aca="false">+(C127/$C$2)*$E$2</f>
        <v>103.566564834922</v>
      </c>
    </row>
    <row r="128" customFormat="false" ht="12.75" hidden="false" customHeight="false" outlineLevel="0" collapsed="false">
      <c r="A128" s="682" t="n">
        <v>36035</v>
      </c>
      <c r="B128" s="683" t="n">
        <v>31.0401</v>
      </c>
      <c r="C128" s="683" t="n">
        <v>283.74</v>
      </c>
      <c r="D128" s="679" t="n">
        <f aca="false">+(B128/$B$2)*$D$2</f>
        <v>102.058591438153</v>
      </c>
      <c r="E128" s="680" t="n">
        <f aca="false">+(C128/$C$2)*$E$2</f>
        <v>104.435201884501</v>
      </c>
    </row>
    <row r="129" customFormat="false" ht="12.75" hidden="false" customHeight="false" outlineLevel="0" collapsed="false">
      <c r="A129" s="682" t="n">
        <v>36038</v>
      </c>
      <c r="B129" s="683" t="n">
        <v>31.1521</v>
      </c>
      <c r="C129" s="683" t="n">
        <v>278.2</v>
      </c>
      <c r="D129" s="679" t="n">
        <f aca="false">+(B129/$B$2)*$D$2</f>
        <v>102.426842901295</v>
      </c>
      <c r="E129" s="680" t="n">
        <f aca="false">+(C129/$C$2)*$E$2</f>
        <v>102.39611321727</v>
      </c>
    </row>
    <row r="130" customFormat="false" ht="12.75" hidden="false" customHeight="false" outlineLevel="0" collapsed="false">
      <c r="A130" s="682" t="n">
        <v>36039</v>
      </c>
      <c r="B130" s="683" t="n">
        <v>30.872</v>
      </c>
      <c r="C130" s="683" t="n">
        <v>278.2</v>
      </c>
      <c r="D130" s="679" t="n">
        <f aca="false">+(B130/$B$2)*$D$2</f>
        <v>101.505885447491</v>
      </c>
      <c r="E130" s="680" t="n">
        <f aca="false">+(C130/$C$2)*$E$2</f>
        <v>102.39611321727</v>
      </c>
    </row>
    <row r="131" customFormat="false" ht="12.75" hidden="false" customHeight="false" outlineLevel="0" collapsed="false">
      <c r="A131" s="682" t="n">
        <v>36040</v>
      </c>
      <c r="B131" s="683" t="n">
        <v>30.3117</v>
      </c>
      <c r="C131" s="683" t="n">
        <v>272.87</v>
      </c>
      <c r="D131" s="679" t="n">
        <f aca="false">+(B131/$B$2)*$D$2</f>
        <v>99.6636417439337</v>
      </c>
      <c r="E131" s="680" t="n">
        <f aca="false">+(C131/$C$2)*$E$2</f>
        <v>100.434318524789</v>
      </c>
    </row>
    <row r="132" customFormat="false" ht="12.75" hidden="false" customHeight="false" outlineLevel="0" collapsed="false">
      <c r="A132" s="682" t="n">
        <v>36041</v>
      </c>
      <c r="B132" s="683" t="n">
        <v>30.0316</v>
      </c>
      <c r="C132" s="683" t="n">
        <v>272.36</v>
      </c>
      <c r="D132" s="679" t="n">
        <f aca="false">+(B132/$B$2)*$D$2</f>
        <v>98.7426842901296</v>
      </c>
      <c r="E132" s="680" t="n">
        <f aca="false">+(C132/$C$2)*$E$2</f>
        <v>100.246604586109</v>
      </c>
    </row>
    <row r="133" customFormat="false" ht="12.75" hidden="false" customHeight="false" outlineLevel="0" collapsed="false">
      <c r="A133" s="682" t="n">
        <v>36042</v>
      </c>
      <c r="B133" s="683" t="n">
        <v>29.9755</v>
      </c>
      <c r="C133" s="683" t="n">
        <v>271.67</v>
      </c>
      <c r="D133" s="679" t="n">
        <f aca="false">+(B133/$B$2)*$D$2</f>
        <v>98.5582297626093</v>
      </c>
      <c r="E133" s="680" t="n">
        <f aca="false">+(C133/$C$2)*$E$2</f>
        <v>99.9926386690714</v>
      </c>
    </row>
    <row r="134" customFormat="false" ht="12.75" hidden="false" customHeight="false" outlineLevel="0" collapsed="false">
      <c r="A134" s="682" t="n">
        <v>36046</v>
      </c>
      <c r="B134" s="683" t="n">
        <v>29.6393</v>
      </c>
      <c r="C134" s="683" t="n">
        <v>276.88</v>
      </c>
      <c r="D134" s="679" t="n">
        <f aca="false">+(B134/$B$2)*$D$2</f>
        <v>97.4528177812849</v>
      </c>
      <c r="E134" s="680" t="n">
        <f aca="false">+(C134/$C$2)*$E$2</f>
        <v>101.91026537598</v>
      </c>
    </row>
    <row r="135" customFormat="false" ht="12.75" hidden="false" customHeight="false" outlineLevel="0" collapsed="false">
      <c r="A135" s="682" t="n">
        <v>36047</v>
      </c>
      <c r="B135" s="683" t="n">
        <v>30.0316</v>
      </c>
      <c r="C135" s="683" t="n">
        <v>278.29</v>
      </c>
      <c r="D135" s="679" t="n">
        <f aca="false">+(B135/$B$2)*$D$2</f>
        <v>98.7426842901296</v>
      </c>
      <c r="E135" s="680" t="n">
        <f aca="false">+(C135/$C$2)*$E$2</f>
        <v>102.429239206449</v>
      </c>
    </row>
    <row r="136" customFormat="false" ht="12.75" hidden="false" customHeight="false" outlineLevel="0" collapsed="false">
      <c r="A136" s="682" t="n">
        <v>36048</v>
      </c>
      <c r="B136" s="683" t="n">
        <v>31.1521</v>
      </c>
      <c r="C136" s="683" t="n">
        <v>278.35</v>
      </c>
      <c r="D136" s="679" t="n">
        <f aca="false">+(B136/$B$2)*$D$2</f>
        <v>102.426842901295</v>
      </c>
      <c r="E136" s="680" t="n">
        <f aca="false">+(C136/$C$2)*$E$2</f>
        <v>102.451323199234</v>
      </c>
    </row>
    <row r="137" customFormat="false" ht="12.75" hidden="false" customHeight="false" outlineLevel="0" collapsed="false">
      <c r="A137" s="682" t="n">
        <v>36049</v>
      </c>
      <c r="B137" s="683" t="n">
        <v>30.7039</v>
      </c>
      <c r="C137" s="683" t="n">
        <v>281.68</v>
      </c>
      <c r="D137" s="679" t="n">
        <f aca="false">+(B137/$B$2)*$D$2</f>
        <v>100.953179456829</v>
      </c>
      <c r="E137" s="680" t="n">
        <f aca="false">+(C137/$C$2)*$E$2</f>
        <v>103.676984798852</v>
      </c>
    </row>
    <row r="138" customFormat="false" ht="12.75" hidden="false" customHeight="false" outlineLevel="0" collapsed="false">
      <c r="A138" s="682" t="n">
        <v>36052</v>
      </c>
      <c r="B138" s="683" t="n">
        <v>31.0961</v>
      </c>
      <c r="C138" s="683" t="n">
        <v>287.04</v>
      </c>
      <c r="D138" s="679" t="n">
        <f aca="false">+(B138/$B$2)*$D$2</f>
        <v>102.242717169724</v>
      </c>
      <c r="E138" s="680" t="n">
        <f aca="false">+(C138/$C$2)*$E$2</f>
        <v>105.649821487725</v>
      </c>
    </row>
    <row r="139" customFormat="false" ht="12.75" hidden="false" customHeight="false" outlineLevel="0" collapsed="false">
      <c r="A139" s="682" t="n">
        <v>36053</v>
      </c>
      <c r="B139" s="683" t="n">
        <v>31.4883</v>
      </c>
      <c r="C139" s="683" t="n">
        <v>290.96</v>
      </c>
      <c r="D139" s="679" t="n">
        <f aca="false">+(B139/$B$2)*$D$2</f>
        <v>103.53225488262</v>
      </c>
      <c r="E139" s="680" t="n">
        <f aca="false">+(C139/$C$2)*$E$2</f>
        <v>107.092642349737</v>
      </c>
    </row>
    <row r="140" customFormat="false" ht="12.75" hidden="false" customHeight="false" outlineLevel="0" collapsed="false">
      <c r="A140" s="682" t="n">
        <v>36054</v>
      </c>
      <c r="B140" s="683" t="n">
        <v>31.6004</v>
      </c>
      <c r="C140" s="683" t="n">
        <v>293.66</v>
      </c>
      <c r="D140" s="679" t="n">
        <f aca="false">+(B140/$B$2)*$D$2</f>
        <v>103.900835141711</v>
      </c>
      <c r="E140" s="680" t="n">
        <f aca="false">+(C140/$C$2)*$E$2</f>
        <v>108.086422025102</v>
      </c>
    </row>
    <row r="141" customFormat="false" ht="12.75" hidden="false" customHeight="false" outlineLevel="0" collapsed="false">
      <c r="A141" s="682" t="n">
        <v>36055</v>
      </c>
      <c r="B141" s="683" t="n">
        <v>31.6564</v>
      </c>
      <c r="C141" s="683" t="n">
        <v>292.49</v>
      </c>
      <c r="D141" s="679" t="n">
        <f aca="false">+(B141/$B$2)*$D$2</f>
        <v>104.084960873282</v>
      </c>
      <c r="E141" s="680" t="n">
        <f aca="false">+(C141/$C$2)*$E$2</f>
        <v>107.655784165777</v>
      </c>
    </row>
    <row r="142" customFormat="false" ht="12.75" hidden="false" customHeight="false" outlineLevel="0" collapsed="false">
      <c r="A142" s="682" t="n">
        <v>36056</v>
      </c>
      <c r="B142" s="683" t="n">
        <v>31.7124</v>
      </c>
      <c r="C142" s="683" t="n">
        <v>293.96</v>
      </c>
      <c r="D142" s="679" t="n">
        <f aca="false">+(B142/$B$2)*$D$2</f>
        <v>104.269086604853</v>
      </c>
      <c r="E142" s="680" t="n">
        <f aca="false">+(C142/$C$2)*$E$2</f>
        <v>108.196841989032</v>
      </c>
    </row>
    <row r="143" customFormat="false" ht="12.75" hidden="false" customHeight="false" outlineLevel="0" collapsed="false">
      <c r="A143" s="682" t="n">
        <v>36059</v>
      </c>
      <c r="B143" s="683" t="n">
        <v>32.4408</v>
      </c>
      <c r="C143" s="683" t="n">
        <v>294.11</v>
      </c>
      <c r="D143" s="679" t="n">
        <f aca="false">+(B143/$B$2)*$D$2</f>
        <v>106.664036299073</v>
      </c>
      <c r="E143" s="680" t="n">
        <f aca="false">+(C143/$C$2)*$E$2</f>
        <v>108.252051970996</v>
      </c>
    </row>
    <row r="144" customFormat="false" ht="12.75" hidden="false" customHeight="false" outlineLevel="0" collapsed="false">
      <c r="A144" s="682" t="n">
        <v>36060</v>
      </c>
      <c r="B144" s="683" t="n">
        <v>32.4968</v>
      </c>
      <c r="C144" s="683" t="n">
        <v>296.96</v>
      </c>
      <c r="D144" s="679" t="n">
        <f aca="false">+(B144/$B$2)*$D$2</f>
        <v>106.848162030644</v>
      </c>
      <c r="E144" s="680" t="n">
        <f aca="false">+(C144/$C$2)*$E$2</f>
        <v>109.301041628326</v>
      </c>
    </row>
    <row r="145" customFormat="false" ht="12.75" hidden="false" customHeight="false" outlineLevel="0" collapsed="false">
      <c r="A145" s="682" t="n">
        <v>36061</v>
      </c>
      <c r="B145" s="683" t="n">
        <v>32.7209</v>
      </c>
      <c r="C145" s="683" t="n">
        <v>302.98</v>
      </c>
      <c r="D145" s="679" t="n">
        <f aca="false">+(B145/$B$2)*$D$2</f>
        <v>107.584993752877</v>
      </c>
      <c r="E145" s="680" t="n">
        <f aca="false">+(C145/$C$2)*$E$2</f>
        <v>111.516802237845</v>
      </c>
    </row>
    <row r="146" customFormat="false" ht="12.75" hidden="false" customHeight="false" outlineLevel="0" collapsed="false">
      <c r="A146" s="682" t="n">
        <v>36062</v>
      </c>
      <c r="B146" s="683" t="n">
        <v>32.2727</v>
      </c>
      <c r="C146" s="683" t="n">
        <v>298.72</v>
      </c>
      <c r="D146" s="679" t="n">
        <f aca="false">+(B146/$B$2)*$D$2</f>
        <v>106.111330308411</v>
      </c>
      <c r="E146" s="680" t="n">
        <f aca="false">+(C146/$C$2)*$E$2</f>
        <v>109.948838750046</v>
      </c>
    </row>
    <row r="147" customFormat="false" ht="12.75" hidden="false" customHeight="false" outlineLevel="0" collapsed="false">
      <c r="A147" s="682" t="n">
        <v>36063</v>
      </c>
      <c r="B147" s="683" t="n">
        <v>32.1046</v>
      </c>
      <c r="C147" s="683" t="n">
        <v>299.74</v>
      </c>
      <c r="D147" s="679" t="n">
        <f aca="false">+(B147/$B$2)*$D$2</f>
        <v>105.558624317748</v>
      </c>
      <c r="E147" s="680" t="n">
        <f aca="false">+(C147/$C$2)*$E$2</f>
        <v>110.324266627406</v>
      </c>
    </row>
    <row r="148" customFormat="false" ht="12.75" hidden="false" customHeight="false" outlineLevel="0" collapsed="false">
      <c r="A148" s="682" t="n">
        <v>36066</v>
      </c>
      <c r="B148" s="683" t="n">
        <v>32.5529</v>
      </c>
      <c r="C148" s="683" t="n">
        <v>299.86</v>
      </c>
      <c r="D148" s="679" t="n">
        <f aca="false">+(B148/$B$2)*$D$2</f>
        <v>107.032616558164</v>
      </c>
      <c r="E148" s="680" t="n">
        <f aca="false">+(C148/$C$2)*$E$2</f>
        <v>110.368434612978</v>
      </c>
    </row>
    <row r="149" customFormat="false" ht="12.75" hidden="false" customHeight="false" outlineLevel="0" collapsed="false">
      <c r="A149" s="682" t="n">
        <v>36067</v>
      </c>
      <c r="B149" s="683" t="n">
        <v>33.3373</v>
      </c>
      <c r="C149" s="683" t="n">
        <v>303.58</v>
      </c>
      <c r="D149" s="679" t="n">
        <f aca="false">+(B149/$B$2)*$D$2</f>
        <v>109.611691983955</v>
      </c>
      <c r="E149" s="680" t="n">
        <f aca="false">+(C149/$C$2)*$E$2</f>
        <v>111.737642165704</v>
      </c>
    </row>
    <row r="150" customFormat="false" ht="12.75" hidden="false" customHeight="false" outlineLevel="0" collapsed="false">
      <c r="A150" s="682" t="n">
        <v>36068</v>
      </c>
      <c r="B150" s="683" t="n">
        <v>34.2898</v>
      </c>
      <c r="C150" s="683" t="n">
        <v>306.72</v>
      </c>
      <c r="D150" s="679" t="n">
        <f aca="false">+(B150/$B$2)*$D$2</f>
        <v>112.743473400408</v>
      </c>
      <c r="E150" s="680" t="n">
        <f aca="false">+(C150/$C$2)*$E$2</f>
        <v>112.893371121499</v>
      </c>
    </row>
    <row r="151" customFormat="false" ht="12.75" hidden="false" customHeight="false" outlineLevel="0" collapsed="false">
      <c r="A151" s="682" t="n">
        <v>36069</v>
      </c>
      <c r="B151" s="683" t="n">
        <v>34.2898</v>
      </c>
      <c r="C151" s="683" t="n">
        <v>304.78</v>
      </c>
      <c r="D151" s="679" t="n">
        <f aca="false">+(B151/$B$2)*$D$2</f>
        <v>112.743473400408</v>
      </c>
      <c r="E151" s="680" t="n">
        <f aca="false">+(C151/$C$2)*$E$2</f>
        <v>112.179322021421</v>
      </c>
    </row>
    <row r="152" customFormat="false" ht="12.75" hidden="false" customHeight="false" outlineLevel="0" collapsed="false">
      <c r="A152" s="682" t="n">
        <v>36070</v>
      </c>
      <c r="B152" s="683" t="n">
        <v>34.682</v>
      </c>
      <c r="C152" s="683" t="n">
        <v>311.19</v>
      </c>
      <c r="D152" s="679" t="n">
        <f aca="false">+(B152/$B$2)*$D$2</f>
        <v>114.033011113303</v>
      </c>
      <c r="E152" s="680" t="n">
        <f aca="false">+(C152/$C$2)*$E$2</f>
        <v>114.538628584048</v>
      </c>
    </row>
    <row r="153" customFormat="false" ht="12.75" hidden="false" customHeight="false" outlineLevel="0" collapsed="false">
      <c r="A153" s="682" t="n">
        <v>36073</v>
      </c>
      <c r="B153" s="683" t="n">
        <v>34.5139</v>
      </c>
      <c r="C153" s="683" t="n">
        <v>318.83</v>
      </c>
      <c r="D153" s="679" t="n">
        <f aca="false">+(B153/$B$2)*$D$2</f>
        <v>113.480305122641</v>
      </c>
      <c r="E153" s="680" t="n">
        <f aca="false">+(C153/$C$2)*$E$2</f>
        <v>117.350656998785</v>
      </c>
    </row>
    <row r="154" customFormat="false" ht="12.75" hidden="false" customHeight="false" outlineLevel="0" collapsed="false">
      <c r="A154" s="682" t="n">
        <v>36074</v>
      </c>
      <c r="B154" s="683" t="n">
        <v>34.4578</v>
      </c>
      <c r="C154" s="683" t="n">
        <v>317.48</v>
      </c>
      <c r="D154" s="679" t="n">
        <f aca="false">+(B154/$B$2)*$D$2</f>
        <v>113.295850595121</v>
      </c>
      <c r="E154" s="680" t="n">
        <f aca="false">+(C154/$C$2)*$E$2</f>
        <v>116.853767161103</v>
      </c>
    </row>
    <row r="155" customFormat="false" ht="12.75" hidden="false" customHeight="false" outlineLevel="0" collapsed="false">
      <c r="A155" s="682" t="n">
        <v>36075</v>
      </c>
      <c r="B155" s="683" t="n">
        <v>34.6259</v>
      </c>
      <c r="C155" s="683" t="n">
        <v>319.13</v>
      </c>
      <c r="D155" s="679" t="n">
        <f aca="false">+(B155/$B$2)*$D$2</f>
        <v>113.848556585783</v>
      </c>
      <c r="E155" s="680" t="n">
        <f aca="false">+(C155/$C$2)*$E$2</f>
        <v>117.461076962715</v>
      </c>
    </row>
    <row r="156" customFormat="false" ht="12.75" hidden="false" customHeight="false" outlineLevel="0" collapsed="false">
      <c r="A156" s="682" t="n">
        <v>36076</v>
      </c>
      <c r="B156" s="683" t="n">
        <v>34.5139</v>
      </c>
      <c r="C156" s="683" t="n">
        <v>320.51</v>
      </c>
      <c r="D156" s="679" t="n">
        <f aca="false">+(B156/$B$2)*$D$2</f>
        <v>113.480305122641</v>
      </c>
      <c r="E156" s="680" t="n">
        <f aca="false">+(C156/$C$2)*$E$2</f>
        <v>117.96900879679</v>
      </c>
    </row>
    <row r="157" customFormat="false" ht="12.75" hidden="false" customHeight="false" outlineLevel="0" collapsed="false">
      <c r="A157" s="682" t="n">
        <v>36077</v>
      </c>
      <c r="B157" s="683" t="n">
        <v>33.0011</v>
      </c>
      <c r="C157" s="683" t="n">
        <v>311.46</v>
      </c>
      <c r="D157" s="679" t="n">
        <f aca="false">+(B157/$B$2)*$D$2</f>
        <v>108.50628000263</v>
      </c>
      <c r="E157" s="680" t="n">
        <f aca="false">+(C157/$C$2)*$E$2</f>
        <v>114.638006551585</v>
      </c>
    </row>
    <row r="158" customFormat="false" ht="12.75" hidden="false" customHeight="false" outlineLevel="0" collapsed="false">
      <c r="A158" s="682" t="n">
        <v>36080</v>
      </c>
      <c r="B158" s="683" t="n">
        <v>31.2642</v>
      </c>
      <c r="C158" s="683" t="n">
        <v>300.52</v>
      </c>
      <c r="D158" s="679" t="n">
        <f aca="false">+(B158/$B$2)*$D$2</f>
        <v>102.795423160387</v>
      </c>
      <c r="E158" s="680" t="n">
        <f aca="false">+(C158/$C$2)*$E$2</f>
        <v>110.611358533623</v>
      </c>
    </row>
    <row r="159" customFormat="false" ht="12.75" hidden="false" customHeight="false" outlineLevel="0" collapsed="false">
      <c r="A159" s="682" t="n">
        <v>36081</v>
      </c>
      <c r="B159" s="683" t="n">
        <v>31.9926</v>
      </c>
      <c r="C159" s="683" t="n">
        <v>305.56</v>
      </c>
      <c r="D159" s="679" t="n">
        <f aca="false">+(B159/$B$2)*$D$2</f>
        <v>105.190372854606</v>
      </c>
      <c r="E159" s="680" t="n">
        <f aca="false">+(C159/$C$2)*$E$2</f>
        <v>112.466413927638</v>
      </c>
    </row>
    <row r="160" customFormat="false" ht="12.75" hidden="false" customHeight="false" outlineLevel="0" collapsed="false">
      <c r="A160" s="682" t="n">
        <v>36082</v>
      </c>
      <c r="B160" s="683" t="n">
        <v>32.833</v>
      </c>
      <c r="C160" s="683" t="n">
        <v>310.41</v>
      </c>
      <c r="D160" s="679" t="n">
        <f aca="false">+(B160/$B$2)*$D$2</f>
        <v>107.953574011968</v>
      </c>
      <c r="E160" s="680" t="n">
        <f aca="false">+(C160/$C$2)*$E$2</f>
        <v>114.251536677831</v>
      </c>
    </row>
    <row r="161" customFormat="false" ht="12.75" hidden="false" customHeight="false" outlineLevel="0" collapsed="false">
      <c r="A161" s="682" t="n">
        <v>36083</v>
      </c>
      <c r="B161" s="683" t="n">
        <v>32.777</v>
      </c>
      <c r="C161" s="683" t="n">
        <v>315.5</v>
      </c>
      <c r="D161" s="679" t="n">
        <f aca="false">+(B161/$B$2)*$D$2</f>
        <v>107.769448280397</v>
      </c>
      <c r="E161" s="680" t="n">
        <f aca="false">+(C161/$C$2)*$E$2</f>
        <v>116.124995399168</v>
      </c>
    </row>
    <row r="162" customFormat="false" ht="12.75" hidden="false" customHeight="false" outlineLevel="0" collapsed="false">
      <c r="A162" s="682" t="n">
        <v>36084</v>
      </c>
      <c r="B162" s="683" t="n">
        <v>31.5443</v>
      </c>
      <c r="C162" s="683" t="n">
        <v>309.63</v>
      </c>
      <c r="D162" s="679" t="n">
        <f aca="false">+(B162/$B$2)*$D$2</f>
        <v>103.716380614191</v>
      </c>
      <c r="E162" s="680" t="n">
        <f aca="false">+(C162/$C$2)*$E$2</f>
        <v>113.964444771615</v>
      </c>
    </row>
    <row r="163" customFormat="false" ht="12.75" hidden="false" customHeight="false" outlineLevel="0" collapsed="false">
      <c r="A163" s="682" t="n">
        <v>36087</v>
      </c>
      <c r="B163" s="683" t="n">
        <v>31.6004</v>
      </c>
      <c r="C163" s="683" t="n">
        <v>306.13</v>
      </c>
      <c r="D163" s="679" t="n">
        <f aca="false">+(B163/$B$2)*$D$2</f>
        <v>103.900835141711</v>
      </c>
      <c r="E163" s="680" t="n">
        <f aca="false">+(C163/$C$2)*$E$2</f>
        <v>112.676211859104</v>
      </c>
    </row>
    <row r="164" customFormat="false" ht="12.75" hidden="false" customHeight="false" outlineLevel="0" collapsed="false">
      <c r="A164" s="682" t="n">
        <v>36088</v>
      </c>
      <c r="B164" s="683" t="n">
        <v>31.3762</v>
      </c>
      <c r="C164" s="683" t="n">
        <v>300.64</v>
      </c>
      <c r="D164" s="679" t="n">
        <f aca="false">+(B164/$B$2)*$D$2</f>
        <v>103.163674623529</v>
      </c>
      <c r="E164" s="680" t="n">
        <f aca="false">+(C164/$C$2)*$E$2</f>
        <v>110.655526519195</v>
      </c>
    </row>
    <row r="165" customFormat="false" ht="12.75" hidden="false" customHeight="false" outlineLevel="0" collapsed="false">
      <c r="A165" s="682" t="n">
        <v>36089</v>
      </c>
      <c r="B165" s="683" t="n">
        <v>31.4883</v>
      </c>
      <c r="C165" s="683" t="n">
        <v>300.88</v>
      </c>
      <c r="D165" s="679" t="n">
        <f aca="false">+(B165/$B$2)*$D$2</f>
        <v>103.53225488262</v>
      </c>
      <c r="E165" s="680" t="n">
        <f aca="false">+(C165/$C$2)*$E$2</f>
        <v>110.743862490338</v>
      </c>
    </row>
    <row r="166" customFormat="false" ht="12.75" hidden="false" customHeight="false" outlineLevel="0" collapsed="false">
      <c r="A166" s="682" t="n">
        <v>36090</v>
      </c>
      <c r="B166" s="683" t="n">
        <v>32.0105</v>
      </c>
      <c r="C166" s="683" t="n">
        <v>303.82</v>
      </c>
      <c r="D166" s="679" t="n">
        <f aca="false">+(B166/$B$2)*$D$2</f>
        <v>105.249227329519</v>
      </c>
      <c r="E166" s="680" t="n">
        <f aca="false">+(C166/$C$2)*$E$2</f>
        <v>111.825978136847</v>
      </c>
    </row>
    <row r="167" customFormat="false" ht="12.75" hidden="false" customHeight="false" outlineLevel="0" collapsed="false">
      <c r="A167" s="682" t="n">
        <v>36091</v>
      </c>
      <c r="B167" s="683" t="n">
        <v>31.8402</v>
      </c>
      <c r="C167" s="683" t="n">
        <v>301.45</v>
      </c>
      <c r="D167" s="679" t="n">
        <f aca="false">+(B167/$B$2)*$D$2</f>
        <v>104.689287827974</v>
      </c>
      <c r="E167" s="680" t="n">
        <f aca="false">+(C167/$C$2)*$E$2</f>
        <v>110.953660421804</v>
      </c>
    </row>
    <row r="168" customFormat="false" ht="12.75" hidden="false" customHeight="false" outlineLevel="0" collapsed="false">
      <c r="A168" s="682" t="n">
        <v>36094</v>
      </c>
      <c r="B168" s="683" t="n">
        <v>31.6132</v>
      </c>
      <c r="C168" s="683" t="n">
        <v>299.05</v>
      </c>
      <c r="D168" s="679" t="n">
        <f aca="false">+(B168/$B$2)*$D$2</f>
        <v>103.942921023213</v>
      </c>
      <c r="E168" s="680" t="n">
        <f aca="false">+(C168/$C$2)*$E$2</f>
        <v>110.070300710368</v>
      </c>
    </row>
    <row r="169" customFormat="false" ht="12.75" hidden="false" customHeight="false" outlineLevel="0" collapsed="false">
      <c r="A169" s="682" t="n">
        <v>36095</v>
      </c>
      <c r="B169" s="683" t="n">
        <v>31.1024</v>
      </c>
      <c r="C169" s="683" t="n">
        <v>298.3</v>
      </c>
      <c r="D169" s="679" t="n">
        <f aca="false">+(B169/$B$2)*$D$2</f>
        <v>102.263431314526</v>
      </c>
      <c r="E169" s="680" t="n">
        <f aca="false">+(C169/$C$2)*$E$2</f>
        <v>109.794250800545</v>
      </c>
    </row>
    <row r="170" customFormat="false" ht="12.75" hidden="false" customHeight="false" outlineLevel="0" collapsed="false">
      <c r="A170" s="682" t="n">
        <v>36096</v>
      </c>
      <c r="B170" s="683" t="n">
        <v>31.2726</v>
      </c>
      <c r="C170" s="683" t="n">
        <v>300.28</v>
      </c>
      <c r="D170" s="679" t="n">
        <f aca="false">+(B170/$B$2)*$D$2</f>
        <v>102.823042020122</v>
      </c>
      <c r="E170" s="680" t="n">
        <f aca="false">+(C170/$C$2)*$E$2</f>
        <v>110.523022562479</v>
      </c>
    </row>
    <row r="171" customFormat="false" ht="12.75" hidden="false" customHeight="false" outlineLevel="0" collapsed="false">
      <c r="A171" s="682" t="n">
        <v>36097</v>
      </c>
      <c r="B171" s="683" t="n">
        <v>31.2726</v>
      </c>
      <c r="C171" s="683" t="n">
        <v>297.86</v>
      </c>
      <c r="D171" s="679" t="n">
        <f aca="false">+(B171/$B$2)*$D$2</f>
        <v>102.823042020122</v>
      </c>
      <c r="E171" s="680" t="n">
        <f aca="false">+(C171/$C$2)*$E$2</f>
        <v>109.632301520115</v>
      </c>
    </row>
    <row r="172" customFormat="false" ht="12.75" hidden="false" customHeight="false" outlineLevel="0" collapsed="false">
      <c r="A172" s="682" t="n">
        <v>36098</v>
      </c>
      <c r="B172" s="683" t="n">
        <v>31.3294</v>
      </c>
      <c r="C172" s="683" t="n">
        <v>301.45</v>
      </c>
      <c r="D172" s="679" t="n">
        <f aca="false">+(B172/$B$2)*$D$2</f>
        <v>103.009798119287</v>
      </c>
      <c r="E172" s="680" t="n">
        <f aca="false">+(C172/$C$2)*$E$2</f>
        <v>110.953660421804</v>
      </c>
    </row>
    <row r="173" customFormat="false" ht="12.75" hidden="false" customHeight="false" outlineLevel="0" collapsed="false">
      <c r="A173" s="682" t="n">
        <v>36101</v>
      </c>
      <c r="B173" s="683" t="n">
        <v>31.9537</v>
      </c>
      <c r="C173" s="683" t="n">
        <v>304.87</v>
      </c>
      <c r="D173" s="679" t="n">
        <f aca="false">+(B173/$B$2)*$D$2</f>
        <v>105.062471230354</v>
      </c>
      <c r="E173" s="680" t="n">
        <f aca="false">+(C173/$C$2)*$E$2</f>
        <v>112.2124480106</v>
      </c>
    </row>
    <row r="174" customFormat="false" ht="12.75" hidden="false" customHeight="false" outlineLevel="0" collapsed="false">
      <c r="A174" s="682" t="n">
        <v>36102</v>
      </c>
      <c r="B174" s="683" t="n">
        <v>31.8402</v>
      </c>
      <c r="C174" s="683" t="n">
        <v>307.77</v>
      </c>
      <c r="D174" s="679" t="n">
        <f aca="false">+(B174/$B$2)*$D$2</f>
        <v>104.689287827974</v>
      </c>
      <c r="E174" s="680" t="n">
        <f aca="false">+(C174/$C$2)*$E$2</f>
        <v>113.279840995252</v>
      </c>
    </row>
    <row r="175" customFormat="false" ht="12.75" hidden="false" customHeight="false" outlineLevel="0" collapsed="false">
      <c r="A175" s="682" t="n">
        <v>36103</v>
      </c>
      <c r="B175" s="683" t="n">
        <v>31.7834</v>
      </c>
      <c r="C175" s="683" t="n">
        <v>306.96</v>
      </c>
      <c r="D175" s="679" t="n">
        <f aca="false">+(B175/$B$2)*$D$2</f>
        <v>104.502531728809</v>
      </c>
      <c r="E175" s="680" t="n">
        <f aca="false">+(C175/$C$2)*$E$2</f>
        <v>112.981707092642</v>
      </c>
    </row>
    <row r="176" customFormat="false" ht="12.75" hidden="false" customHeight="false" outlineLevel="0" collapsed="false">
      <c r="A176" s="682" t="n">
        <v>36104</v>
      </c>
      <c r="B176" s="683" t="n">
        <v>31.9537</v>
      </c>
      <c r="C176" s="683" t="n">
        <v>307.05</v>
      </c>
      <c r="D176" s="679" t="n">
        <f aca="false">+(B176/$B$2)*$D$2</f>
        <v>105.062471230354</v>
      </c>
      <c r="E176" s="680" t="n">
        <f aca="false">+(C176/$C$2)*$E$2</f>
        <v>113.014833081821</v>
      </c>
    </row>
    <row r="177" customFormat="false" ht="12.75" hidden="false" customHeight="false" outlineLevel="0" collapsed="false">
      <c r="A177" s="682" t="n">
        <v>36105</v>
      </c>
      <c r="B177" s="683" t="n">
        <v>32.0672</v>
      </c>
      <c r="C177" s="683" t="n">
        <v>307.05</v>
      </c>
      <c r="D177" s="679" t="n">
        <f aca="false">+(B177/$B$2)*$D$2</f>
        <v>105.435654632735</v>
      </c>
      <c r="E177" s="680" t="n">
        <f aca="false">+(C177/$C$2)*$E$2</f>
        <v>113.014833081821</v>
      </c>
    </row>
    <row r="178" customFormat="false" ht="12.75" hidden="false" customHeight="false" outlineLevel="0" collapsed="false">
      <c r="A178" s="682" t="n">
        <v>36108</v>
      </c>
      <c r="B178" s="683" t="n">
        <v>31.4429</v>
      </c>
      <c r="C178" s="683" t="n">
        <v>307.38</v>
      </c>
      <c r="D178" s="679" t="n">
        <f aca="false">+(B178/$B$2)*$D$2</f>
        <v>103.382981521668</v>
      </c>
      <c r="E178" s="680" t="n">
        <f aca="false">+(C178/$C$2)*$E$2</f>
        <v>113.136295042144</v>
      </c>
    </row>
    <row r="179" customFormat="false" ht="12.75" hidden="false" customHeight="false" outlineLevel="0" collapsed="false">
      <c r="A179" s="682" t="n">
        <v>36109</v>
      </c>
      <c r="B179" s="683" t="n">
        <v>31.6699</v>
      </c>
      <c r="C179" s="683" t="n">
        <v>310.08</v>
      </c>
      <c r="D179" s="679" t="n">
        <f aca="false">+(B179/$B$2)*$D$2</f>
        <v>104.129348326429</v>
      </c>
      <c r="E179" s="680" t="n">
        <f aca="false">+(C179/$C$2)*$E$2</f>
        <v>114.130074717509</v>
      </c>
    </row>
    <row r="180" customFormat="false" ht="12.75" hidden="false" customHeight="false" outlineLevel="0" collapsed="false">
      <c r="A180" s="682" t="n">
        <v>36110</v>
      </c>
      <c r="B180" s="683" t="n">
        <v>32.0672</v>
      </c>
      <c r="C180" s="683" t="n">
        <v>305.44</v>
      </c>
      <c r="D180" s="679" t="n">
        <f aca="false">+(B180/$B$2)*$D$2</f>
        <v>105.435654632735</v>
      </c>
      <c r="E180" s="680" t="n">
        <f aca="false">+(C180/$C$2)*$E$2</f>
        <v>112.422245942066</v>
      </c>
    </row>
    <row r="181" customFormat="false" ht="12.75" hidden="false" customHeight="false" outlineLevel="0" collapsed="false">
      <c r="A181" s="682" t="n">
        <v>36111</v>
      </c>
      <c r="B181" s="683" t="n">
        <v>32.124</v>
      </c>
      <c r="C181" s="683" t="n">
        <v>305.62</v>
      </c>
      <c r="D181" s="679" t="n">
        <f aca="false">+(B181/$B$2)*$D$2</f>
        <v>105.6224107319</v>
      </c>
      <c r="E181" s="680" t="n">
        <f aca="false">+(C181/$C$2)*$E$2</f>
        <v>112.488497920424</v>
      </c>
    </row>
    <row r="182" customFormat="false" ht="12.75" hidden="false" customHeight="false" outlineLevel="0" collapsed="false">
      <c r="A182" s="682" t="n">
        <v>36112</v>
      </c>
      <c r="B182" s="683" t="n">
        <v>32.351</v>
      </c>
      <c r="C182" s="683" t="n">
        <v>306.87</v>
      </c>
      <c r="D182" s="679" t="n">
        <f aca="false">+(B182/$B$2)*$D$2</f>
        <v>106.368777536661</v>
      </c>
      <c r="E182" s="680" t="n">
        <f aca="false">+(C182/$C$2)*$E$2</f>
        <v>112.948581103464</v>
      </c>
    </row>
    <row r="183" customFormat="false" ht="12.75" hidden="false" customHeight="false" outlineLevel="0" collapsed="false">
      <c r="A183" s="682" t="n">
        <v>36115</v>
      </c>
      <c r="B183" s="683" t="n">
        <v>32.9186</v>
      </c>
      <c r="C183" s="683" t="n">
        <v>309.54</v>
      </c>
      <c r="D183" s="679" t="n">
        <f aca="false">+(B183/$B$2)*$D$2</f>
        <v>108.235023344512</v>
      </c>
      <c r="E183" s="680" t="n">
        <f aca="false">+(C183/$C$2)*$E$2</f>
        <v>113.931318782436</v>
      </c>
    </row>
    <row r="184" customFormat="false" ht="12.75" hidden="false" customHeight="false" outlineLevel="0" collapsed="false">
      <c r="A184" s="682" t="n">
        <v>36116</v>
      </c>
      <c r="B184" s="683" t="n">
        <v>32.4645</v>
      </c>
      <c r="C184" s="683" t="n">
        <v>309.06</v>
      </c>
      <c r="D184" s="679" t="n">
        <f aca="false">+(B184/$B$2)*$D$2</f>
        <v>106.741960939041</v>
      </c>
      <c r="E184" s="680" t="n">
        <f aca="false">+(C184/$C$2)*$E$2</f>
        <v>113.754646840149</v>
      </c>
    </row>
    <row r="185" customFormat="false" ht="12.75" hidden="false" customHeight="false" outlineLevel="0" collapsed="false">
      <c r="A185" s="682" t="n">
        <v>36117</v>
      </c>
      <c r="B185" s="683" t="n">
        <v>32.1807</v>
      </c>
      <c r="C185" s="683" t="n">
        <v>309.27</v>
      </c>
      <c r="D185" s="679" t="n">
        <f aca="false">+(B185/$B$2)*$D$2</f>
        <v>105.808838035115</v>
      </c>
      <c r="E185" s="680" t="n">
        <f aca="false">+(C185/$C$2)*$E$2</f>
        <v>113.831940814899</v>
      </c>
    </row>
    <row r="186" customFormat="false" ht="12.75" hidden="false" customHeight="false" outlineLevel="0" collapsed="false">
      <c r="A186" s="682" t="n">
        <v>36118</v>
      </c>
      <c r="B186" s="683" t="n">
        <v>32.124</v>
      </c>
      <c r="C186" s="683" t="n">
        <v>308.34</v>
      </c>
      <c r="D186" s="679" t="n">
        <f aca="false">+(B186/$B$2)*$D$2</f>
        <v>105.6224107319</v>
      </c>
      <c r="E186" s="680" t="n">
        <f aca="false">+(C186/$C$2)*$E$2</f>
        <v>113.489638926718</v>
      </c>
    </row>
    <row r="187" customFormat="false" ht="12.75" hidden="false" customHeight="false" outlineLevel="0" collapsed="false">
      <c r="A187" s="682" t="n">
        <v>36119</v>
      </c>
      <c r="B187" s="683" t="n">
        <v>32.0672</v>
      </c>
      <c r="C187" s="683" t="n">
        <v>310.14</v>
      </c>
      <c r="D187" s="679" t="n">
        <f aca="false">+(B187/$B$2)*$D$2</f>
        <v>105.435654632735</v>
      </c>
      <c r="E187" s="680" t="n">
        <f aca="false">+(C187/$C$2)*$E$2</f>
        <v>114.152158710295</v>
      </c>
    </row>
    <row r="188" customFormat="false" ht="12.75" hidden="false" customHeight="false" outlineLevel="0" collapsed="false">
      <c r="A188" s="682" t="n">
        <v>36122</v>
      </c>
      <c r="B188" s="683" t="n">
        <v>32.2375</v>
      </c>
      <c r="C188" s="683" t="n">
        <v>312.03</v>
      </c>
      <c r="D188" s="679" t="n">
        <f aca="false">+(B188/$B$2)*$D$2</f>
        <v>105.99559413428</v>
      </c>
      <c r="E188" s="680" t="n">
        <f aca="false">+(C188/$C$2)*$E$2</f>
        <v>114.847804483051</v>
      </c>
    </row>
    <row r="189" customFormat="false" ht="12.75" hidden="false" customHeight="false" outlineLevel="0" collapsed="false">
      <c r="A189" s="682" t="n">
        <v>36123</v>
      </c>
      <c r="B189" s="683" t="n">
        <v>32.0672</v>
      </c>
      <c r="C189" s="683" t="n">
        <v>311.07</v>
      </c>
      <c r="D189" s="679" t="n">
        <f aca="false">+(B189/$B$2)*$D$2</f>
        <v>105.435654632735</v>
      </c>
      <c r="E189" s="680" t="n">
        <f aca="false">+(C189/$C$2)*$E$2</f>
        <v>114.494460598476</v>
      </c>
    </row>
    <row r="190" customFormat="false" ht="12.75" hidden="false" customHeight="false" outlineLevel="0" collapsed="false">
      <c r="A190" s="682" t="n">
        <v>36124</v>
      </c>
      <c r="B190" s="683" t="n">
        <v>32.351</v>
      </c>
      <c r="C190" s="683" t="n">
        <v>310.5</v>
      </c>
      <c r="D190" s="679" t="n">
        <f aca="false">+(B190/$B$2)*$D$2</f>
        <v>106.368777536661</v>
      </c>
      <c r="E190" s="680" t="n">
        <f aca="false">+(C190/$C$2)*$E$2</f>
        <v>114.28466266701</v>
      </c>
    </row>
    <row r="191" customFormat="false" ht="12.75" hidden="false" customHeight="false" outlineLevel="0" collapsed="false">
      <c r="A191" s="682" t="n">
        <v>36126</v>
      </c>
      <c r="B191" s="683" t="n">
        <v>32.124</v>
      </c>
      <c r="C191" s="683" t="n">
        <v>309.93</v>
      </c>
      <c r="D191" s="679" t="n">
        <f aca="false">+(B191/$B$2)*$D$2</f>
        <v>105.6224107319</v>
      </c>
      <c r="E191" s="680" t="n">
        <f aca="false">+(C191/$C$2)*$E$2</f>
        <v>114.074864735544</v>
      </c>
    </row>
    <row r="192" customFormat="false" ht="12.75" hidden="false" customHeight="false" outlineLevel="0" collapsed="false">
      <c r="A192" s="682" t="n">
        <v>36129</v>
      </c>
      <c r="B192" s="683" t="n">
        <v>31.3861</v>
      </c>
      <c r="C192" s="683" t="n">
        <v>303.52</v>
      </c>
      <c r="D192" s="679" t="n">
        <f aca="false">+(B192/$B$2)*$D$2</f>
        <v>103.196225422503</v>
      </c>
      <c r="E192" s="680" t="n">
        <f aca="false">+(C192/$C$2)*$E$2</f>
        <v>111.715558172918</v>
      </c>
    </row>
    <row r="193" customFormat="false" ht="12.75" hidden="false" customHeight="false" outlineLevel="0" collapsed="false">
      <c r="A193" s="682" t="n">
        <v>36130</v>
      </c>
      <c r="B193" s="683" t="n">
        <v>31.6132</v>
      </c>
      <c r="C193" s="683" t="n">
        <v>305.17</v>
      </c>
      <c r="D193" s="679" t="n">
        <f aca="false">+(B193/$B$2)*$D$2</f>
        <v>103.942921023213</v>
      </c>
      <c r="E193" s="680" t="n">
        <f aca="false">+(C193/$C$2)*$E$2</f>
        <v>112.32286797453</v>
      </c>
    </row>
    <row r="194" customFormat="false" ht="12.75" hidden="false" customHeight="false" outlineLevel="0" collapsed="false">
      <c r="A194" s="682" t="n">
        <v>36131</v>
      </c>
      <c r="B194" s="683" t="n">
        <v>31.6132</v>
      </c>
      <c r="C194" s="683" t="n">
        <v>304.15</v>
      </c>
      <c r="D194" s="679" t="n">
        <f aca="false">+(B194/$B$2)*$D$2</f>
        <v>103.942921023213</v>
      </c>
      <c r="E194" s="680" t="n">
        <f aca="false">+(C194/$C$2)*$E$2</f>
        <v>111.94744009717</v>
      </c>
    </row>
    <row r="195" customFormat="false" ht="12.75" hidden="false" customHeight="false" outlineLevel="0" collapsed="false">
      <c r="A195" s="682" t="n">
        <v>36132</v>
      </c>
      <c r="B195" s="683" t="n">
        <v>31.6132</v>
      </c>
      <c r="C195" s="683" t="n">
        <v>303.1</v>
      </c>
      <c r="D195" s="679" t="n">
        <f aca="false">+(B195/$B$2)*$D$2</f>
        <v>103.942921023213</v>
      </c>
      <c r="E195" s="680" t="n">
        <f aca="false">+(C195/$C$2)*$E$2</f>
        <v>111.560970223416</v>
      </c>
    </row>
    <row r="196" customFormat="false" ht="12.75" hidden="false" customHeight="false" outlineLevel="0" collapsed="false">
      <c r="A196" s="682" t="n">
        <v>36133</v>
      </c>
      <c r="B196" s="683" t="n">
        <v>32.2375</v>
      </c>
      <c r="C196" s="683" t="n">
        <v>308.94</v>
      </c>
      <c r="D196" s="679" t="n">
        <f aca="false">+(B196/$B$2)*$D$2</f>
        <v>105.99559413428</v>
      </c>
      <c r="E196" s="680" t="n">
        <f aca="false">+(C196/$C$2)*$E$2</f>
        <v>113.710478854577</v>
      </c>
    </row>
    <row r="197" customFormat="false" ht="12.75" hidden="false" customHeight="false" outlineLevel="0" collapsed="false">
      <c r="A197" s="682" t="n">
        <v>36136</v>
      </c>
      <c r="B197" s="683" t="n">
        <v>32.2942</v>
      </c>
      <c r="C197" s="683" t="n">
        <v>308.46</v>
      </c>
      <c r="D197" s="679" t="n">
        <f aca="false">+(B197/$B$2)*$D$2</f>
        <v>106.182021437496</v>
      </c>
      <c r="E197" s="680" t="n">
        <f aca="false">+(C197/$C$2)*$E$2</f>
        <v>113.53380691229</v>
      </c>
    </row>
    <row r="198" customFormat="false" ht="12.75" hidden="false" customHeight="false" outlineLevel="0" collapsed="false">
      <c r="A198" s="682" t="n">
        <v>36137</v>
      </c>
      <c r="B198" s="683" t="n">
        <v>32.578</v>
      </c>
      <c r="C198" s="683" t="n">
        <v>307.71</v>
      </c>
      <c r="D198" s="679" t="n">
        <f aca="false">+(B198/$B$2)*$D$2</f>
        <v>107.115144341422</v>
      </c>
      <c r="E198" s="680" t="n">
        <f aca="false">+(C198/$C$2)*$E$2</f>
        <v>113.257757002466</v>
      </c>
    </row>
    <row r="199" customFormat="false" ht="12.75" hidden="false" customHeight="false" outlineLevel="0" collapsed="false">
      <c r="A199" s="682" t="n">
        <v>36138</v>
      </c>
      <c r="B199" s="683" t="n">
        <v>32.0672</v>
      </c>
      <c r="C199" s="683" t="n">
        <v>306.75</v>
      </c>
      <c r="D199" s="679" t="n">
        <f aca="false">+(B199/$B$2)*$D$2</f>
        <v>105.435654632735</v>
      </c>
      <c r="E199" s="680" t="n">
        <f aca="false">+(C199/$C$2)*$E$2</f>
        <v>112.904413117892</v>
      </c>
    </row>
    <row r="200" customFormat="false" ht="12.75" hidden="false" customHeight="false" outlineLevel="0" collapsed="false">
      <c r="A200" s="682" t="n">
        <v>36139</v>
      </c>
      <c r="B200" s="683" t="n">
        <v>31.6132</v>
      </c>
      <c r="C200" s="683" t="n">
        <v>303.7</v>
      </c>
      <c r="D200" s="679" t="n">
        <f aca="false">+(B200/$B$2)*$D$2</f>
        <v>103.942921023213</v>
      </c>
      <c r="E200" s="680" t="n">
        <f aca="false">+(C200/$C$2)*$E$2</f>
        <v>111.781810151275</v>
      </c>
    </row>
    <row r="201" customFormat="false" ht="12.75" hidden="false" customHeight="false" outlineLevel="0" collapsed="false">
      <c r="A201" s="682" t="n">
        <v>36140</v>
      </c>
      <c r="B201" s="683" t="n">
        <v>31.8969</v>
      </c>
      <c r="C201" s="683" t="n">
        <v>304.42</v>
      </c>
      <c r="D201" s="679" t="n">
        <f aca="false">+(B201/$B$2)*$D$2</f>
        <v>104.87571513119</v>
      </c>
      <c r="E201" s="680" t="n">
        <f aca="false">+(C201/$C$2)*$E$2</f>
        <v>112.046818064706</v>
      </c>
    </row>
    <row r="202" customFormat="false" ht="12.75" hidden="false" customHeight="false" outlineLevel="0" collapsed="false">
      <c r="A202" s="682" t="n">
        <v>36143</v>
      </c>
      <c r="B202" s="683" t="n">
        <v>31.4429</v>
      </c>
      <c r="C202" s="683" t="n">
        <v>304.21</v>
      </c>
      <c r="D202" s="679" t="n">
        <f aca="false">+(B202/$B$2)*$D$2</f>
        <v>103.382981521668</v>
      </c>
      <c r="E202" s="680" t="n">
        <f aca="false">+(C202/$C$2)*$E$2</f>
        <v>111.969524089955</v>
      </c>
    </row>
    <row r="203" customFormat="false" ht="12.75" hidden="false" customHeight="false" outlineLevel="0" collapsed="false">
      <c r="A203" s="682" t="n">
        <v>36144</v>
      </c>
      <c r="B203" s="683" t="n">
        <v>31.1591</v>
      </c>
      <c r="C203" s="683" t="n">
        <v>304.48</v>
      </c>
      <c r="D203" s="679" t="n">
        <f aca="false">+(B203/$B$2)*$D$2</f>
        <v>102.449858617742</v>
      </c>
      <c r="E203" s="680" t="n">
        <f aca="false">+(C203/$C$2)*$E$2</f>
        <v>112.068902057492</v>
      </c>
    </row>
    <row r="204" customFormat="false" ht="12.75" hidden="false" customHeight="false" outlineLevel="0" collapsed="false">
      <c r="A204" s="682" t="n">
        <v>36145</v>
      </c>
      <c r="B204" s="683" t="n">
        <v>31.2726</v>
      </c>
      <c r="C204" s="683" t="n">
        <v>306.57</v>
      </c>
      <c r="D204" s="679" t="n">
        <f aca="false">+(B204/$B$2)*$D$2</f>
        <v>102.823042020122</v>
      </c>
      <c r="E204" s="680" t="n">
        <f aca="false">+(C204/$C$2)*$E$2</f>
        <v>112.838161139534</v>
      </c>
    </row>
    <row r="205" customFormat="false" ht="12.75" hidden="false" customHeight="false" outlineLevel="0" collapsed="false">
      <c r="A205" s="682" t="n">
        <v>36146</v>
      </c>
      <c r="B205" s="683" t="n">
        <v>31.7267</v>
      </c>
      <c r="C205" s="683" t="n">
        <v>311.64</v>
      </c>
      <c r="D205" s="679" t="n">
        <f aca="false">+(B205/$B$2)*$D$2</f>
        <v>104.316104425593</v>
      </c>
      <c r="E205" s="680" t="n">
        <f aca="false">+(C205/$C$2)*$E$2</f>
        <v>114.704258529942</v>
      </c>
    </row>
    <row r="206" customFormat="false" ht="12.75" hidden="false" customHeight="false" outlineLevel="0" collapsed="false">
      <c r="A206" s="682" t="n">
        <v>36147</v>
      </c>
      <c r="B206" s="683" t="n">
        <v>31.2726</v>
      </c>
      <c r="C206" s="683" t="n">
        <v>313.29</v>
      </c>
      <c r="D206" s="679" t="n">
        <f aca="false">+(B206/$B$2)*$D$2</f>
        <v>102.823042020122</v>
      </c>
      <c r="E206" s="680" t="n">
        <f aca="false">+(C206/$C$2)*$E$2</f>
        <v>115.311568331554</v>
      </c>
    </row>
    <row r="207" customFormat="false" ht="12.75" hidden="false" customHeight="false" outlineLevel="0" collapsed="false">
      <c r="A207" s="682" t="n">
        <v>36150</v>
      </c>
      <c r="B207" s="683" t="n">
        <v>31.6132</v>
      </c>
      <c r="C207" s="683" t="n">
        <v>314.36</v>
      </c>
      <c r="D207" s="679" t="n">
        <f aca="false">+(B207/$B$2)*$D$2</f>
        <v>103.942921023213</v>
      </c>
      <c r="E207" s="680" t="n">
        <f aca="false">+(C207/$C$2)*$E$2</f>
        <v>115.705399536236</v>
      </c>
    </row>
    <row r="208" customFormat="false" ht="12.75" hidden="false" customHeight="false" outlineLevel="0" collapsed="false">
      <c r="A208" s="682" t="n">
        <v>36151</v>
      </c>
      <c r="B208" s="683" t="n">
        <v>30.8753</v>
      </c>
      <c r="C208" s="683" t="n">
        <v>312.81</v>
      </c>
      <c r="D208" s="679" t="n">
        <f aca="false">+(B208/$B$2)*$D$2</f>
        <v>101.516735713816</v>
      </c>
      <c r="E208" s="680" t="n">
        <f aca="false">+(C208/$C$2)*$E$2</f>
        <v>115.134896389267</v>
      </c>
    </row>
    <row r="209" customFormat="false" ht="12.75" hidden="false" customHeight="false" outlineLevel="0" collapsed="false">
      <c r="A209" s="682" t="n">
        <v>36152</v>
      </c>
      <c r="B209" s="683" t="n">
        <v>31.1024</v>
      </c>
      <c r="C209" s="683" t="n">
        <v>315.05</v>
      </c>
      <c r="D209" s="679" t="n">
        <f aca="false">+(B209/$B$2)*$D$2</f>
        <v>102.263431314526</v>
      </c>
      <c r="E209" s="680" t="n">
        <f aca="false">+(C209/$C$2)*$E$2</f>
        <v>115.959365453274</v>
      </c>
    </row>
    <row r="210" customFormat="false" ht="12.75" hidden="false" customHeight="false" outlineLevel="0" collapsed="false">
      <c r="A210" s="682" t="n">
        <v>36153</v>
      </c>
      <c r="B210" s="683" t="n">
        <v>30.8753</v>
      </c>
      <c r="C210" s="683" t="n">
        <v>314.54</v>
      </c>
      <c r="D210" s="679" t="n">
        <f aca="false">+(B210/$B$2)*$D$2</f>
        <v>101.516735713816</v>
      </c>
      <c r="E210" s="680" t="n">
        <f aca="false">+(C210/$C$2)*$E$2</f>
        <v>115.771651514594</v>
      </c>
    </row>
    <row r="211" customFormat="false" ht="12.75" hidden="false" customHeight="false" outlineLevel="0" collapsed="false">
      <c r="A211" s="682" t="n">
        <v>36157</v>
      </c>
      <c r="B211" s="683" t="n">
        <v>30.9321</v>
      </c>
      <c r="C211" s="683" t="n">
        <v>312.27</v>
      </c>
      <c r="D211" s="679" t="n">
        <f aca="false">+(B211/$B$2)*$D$2</f>
        <v>101.703491812981</v>
      </c>
      <c r="E211" s="680" t="n">
        <f aca="false">+(C211/$C$2)*$E$2</f>
        <v>114.936140454194</v>
      </c>
    </row>
    <row r="212" customFormat="false" ht="12.75" hidden="false" customHeight="false" outlineLevel="0" collapsed="false">
      <c r="A212" s="682" t="n">
        <v>36158</v>
      </c>
      <c r="B212" s="683" t="n">
        <v>30.9889</v>
      </c>
      <c r="C212" s="683" t="n">
        <v>312.57</v>
      </c>
      <c r="D212" s="679" t="n">
        <f aca="false">+(B212/$B$2)*$D$2</f>
        <v>101.890247912146</v>
      </c>
      <c r="E212" s="680" t="n">
        <f aca="false">+(C212/$C$2)*$E$2</f>
        <v>115.046560418124</v>
      </c>
    </row>
    <row r="213" customFormat="false" ht="12.75" hidden="false" customHeight="false" outlineLevel="0" collapsed="false">
      <c r="A213" s="682" t="n">
        <v>36159</v>
      </c>
      <c r="B213" s="683" t="n">
        <v>30.8753</v>
      </c>
      <c r="C213" s="683" t="n">
        <v>310.92</v>
      </c>
      <c r="D213" s="679" t="n">
        <f aca="false">+(B213/$B$2)*$D$2</f>
        <v>101.516735713816</v>
      </c>
      <c r="E213" s="680" t="n">
        <f aca="false">+(C213/$C$2)*$E$2</f>
        <v>114.439250616511</v>
      </c>
    </row>
    <row r="214" customFormat="false" ht="12.75" hidden="false" customHeight="false" outlineLevel="0" collapsed="false">
      <c r="A214" s="682" t="n">
        <v>36160</v>
      </c>
      <c r="B214" s="683" t="n">
        <v>31.2159</v>
      </c>
      <c r="C214" s="683" t="n">
        <v>312.3</v>
      </c>
      <c r="D214" s="679" t="n">
        <f aca="false">+(B214/$B$2)*$D$2</f>
        <v>102.636614716907</v>
      </c>
      <c r="E214" s="680" t="n">
        <f aca="false">+(C214/$C$2)*$E$2</f>
        <v>114.947182450587</v>
      </c>
    </row>
    <row r="215" customFormat="false" ht="12.75" hidden="false" customHeight="false" outlineLevel="0" collapsed="false">
      <c r="A215" s="682" t="n">
        <v>36164</v>
      </c>
      <c r="B215" s="683" t="n">
        <v>31.3294</v>
      </c>
      <c r="C215" s="683" t="n">
        <v>311.91</v>
      </c>
      <c r="D215" s="679" t="n">
        <f aca="false">+(B215/$B$2)*$D$2</f>
        <v>103.009798119287</v>
      </c>
      <c r="E215" s="680" t="n">
        <f aca="false">+(C215/$C$2)*$E$2</f>
        <v>114.803636497479</v>
      </c>
    </row>
    <row r="216" customFormat="false" ht="12.75" hidden="false" customHeight="false" outlineLevel="0" collapsed="false">
      <c r="A216" s="682" t="n">
        <v>36165</v>
      </c>
      <c r="B216" s="683" t="n">
        <v>31.3294</v>
      </c>
      <c r="C216" s="683" t="n">
        <v>309.75</v>
      </c>
      <c r="D216" s="679" t="n">
        <f aca="false">+(B216/$B$2)*$D$2</f>
        <v>103.009798119287</v>
      </c>
      <c r="E216" s="680" t="n">
        <f aca="false">+(C216/$C$2)*$E$2</f>
        <v>114.008612757187</v>
      </c>
    </row>
    <row r="217" customFormat="false" ht="12.75" hidden="false" customHeight="false" outlineLevel="0" collapsed="false">
      <c r="A217" s="682" t="n">
        <v>36166</v>
      </c>
      <c r="B217" s="683" t="n">
        <v>31.2159</v>
      </c>
      <c r="C217" s="683" t="n">
        <v>311.79</v>
      </c>
      <c r="D217" s="679" t="n">
        <f aca="false">+(B217/$B$2)*$D$2</f>
        <v>102.636614716907</v>
      </c>
      <c r="E217" s="680" t="n">
        <f aca="false">+(C217/$C$2)*$E$2</f>
        <v>114.759468511907</v>
      </c>
    </row>
    <row r="218" customFormat="false" ht="12.75" hidden="false" customHeight="false" outlineLevel="0" collapsed="false">
      <c r="A218" s="682" t="n">
        <v>36167</v>
      </c>
      <c r="B218" s="683" t="n">
        <v>30.9321</v>
      </c>
      <c r="C218" s="683" t="n">
        <v>311.19</v>
      </c>
      <c r="D218" s="679" t="n">
        <f aca="false">+(B218/$B$2)*$D$2</f>
        <v>101.703491812981</v>
      </c>
      <c r="E218" s="680" t="n">
        <f aca="false">+(C218/$C$2)*$E$2</f>
        <v>114.538628584048</v>
      </c>
    </row>
    <row r="219" customFormat="false" ht="12.75" hidden="false" customHeight="false" outlineLevel="0" collapsed="false">
      <c r="A219" s="682" t="n">
        <v>36168</v>
      </c>
      <c r="B219" s="683" t="n">
        <v>31.0456</v>
      </c>
      <c r="C219" s="683" t="n">
        <v>310.14</v>
      </c>
      <c r="D219" s="679" t="n">
        <f aca="false">+(B219/$B$2)*$D$2</f>
        <v>102.076675215361</v>
      </c>
      <c r="E219" s="680" t="n">
        <f aca="false">+(C219/$C$2)*$E$2</f>
        <v>114.152158710295</v>
      </c>
    </row>
    <row r="220" customFormat="false" ht="12.75" hidden="false" customHeight="false" outlineLevel="0" collapsed="false">
      <c r="A220" s="682" t="n">
        <v>36171</v>
      </c>
      <c r="B220" s="683" t="n">
        <v>30.5916</v>
      </c>
      <c r="C220" s="683" t="n">
        <v>307.41</v>
      </c>
      <c r="D220" s="679" t="n">
        <f aca="false">+(B220/$B$2)*$D$2</f>
        <v>100.583941605839</v>
      </c>
      <c r="E220" s="680" t="n">
        <f aca="false">+(C220/$C$2)*$E$2</f>
        <v>113.147337038537</v>
      </c>
    </row>
    <row r="221" customFormat="false" ht="12.75" hidden="false" customHeight="false" outlineLevel="0" collapsed="false">
      <c r="A221" s="682" t="n">
        <v>36172</v>
      </c>
      <c r="B221" s="683" t="n">
        <v>30.5916</v>
      </c>
      <c r="C221" s="683" t="n">
        <v>308.58</v>
      </c>
      <c r="D221" s="679" t="n">
        <f aca="false">+(B221/$B$2)*$D$2</f>
        <v>100.583941605839</v>
      </c>
      <c r="E221" s="680" t="n">
        <f aca="false">+(C221/$C$2)*$E$2</f>
        <v>113.577974897862</v>
      </c>
    </row>
    <row r="222" customFormat="false" ht="12.75" hidden="false" customHeight="false" outlineLevel="0" collapsed="false">
      <c r="A222" s="682" t="n">
        <v>36173</v>
      </c>
      <c r="B222" s="683" t="n">
        <v>30.7618</v>
      </c>
      <c r="C222" s="683" t="n">
        <v>308.07</v>
      </c>
      <c r="D222" s="679" t="n">
        <f aca="false">+(B222/$B$2)*$D$2</f>
        <v>101.143552311436</v>
      </c>
      <c r="E222" s="680" t="n">
        <f aca="false">+(C222/$C$2)*$E$2</f>
        <v>113.390260959181</v>
      </c>
    </row>
    <row r="223" customFormat="false" ht="12.75" hidden="false" customHeight="false" outlineLevel="0" collapsed="false">
      <c r="A223" s="682" t="n">
        <v>36174</v>
      </c>
      <c r="B223" s="683" t="n">
        <v>30.478</v>
      </c>
      <c r="C223" s="683" t="n">
        <v>303.43</v>
      </c>
      <c r="D223" s="679" t="n">
        <f aca="false">+(B223/$B$2)*$D$2</f>
        <v>100.21042940751</v>
      </c>
      <c r="E223" s="680" t="n">
        <f aca="false">+(C223/$C$2)*$E$2</f>
        <v>111.682432183739</v>
      </c>
    </row>
    <row r="224" customFormat="false" ht="12.75" hidden="false" customHeight="false" outlineLevel="0" collapsed="false">
      <c r="A224" s="682" t="n">
        <v>36175</v>
      </c>
      <c r="B224" s="683" t="n">
        <v>30.6483</v>
      </c>
      <c r="C224" s="683" t="n">
        <v>306.54</v>
      </c>
      <c r="D224" s="679" t="n">
        <f aca="false">+(B224/$B$2)*$D$2</f>
        <v>100.770368909055</v>
      </c>
      <c r="E224" s="680" t="n">
        <f aca="false">+(C224/$C$2)*$E$2</f>
        <v>112.827119143141</v>
      </c>
    </row>
    <row r="225" customFormat="false" ht="12.75" hidden="false" customHeight="false" outlineLevel="0" collapsed="false">
      <c r="A225" s="682" t="n">
        <v>36179</v>
      </c>
      <c r="B225" s="683" t="n">
        <v>30.251</v>
      </c>
      <c r="C225" s="683" t="n">
        <v>304.99</v>
      </c>
      <c r="D225" s="679" t="n">
        <f aca="false">+(B225/$B$2)*$D$2</f>
        <v>99.4640626027487</v>
      </c>
      <c r="E225" s="680" t="n">
        <f aca="false">+(C225/$C$2)*$E$2</f>
        <v>112.256615996172</v>
      </c>
    </row>
    <row r="226" customFormat="false" ht="12.75" hidden="false" customHeight="false" outlineLevel="0" collapsed="false">
      <c r="A226" s="682" t="n">
        <v>36180</v>
      </c>
      <c r="B226" s="683" t="n">
        <v>29.5132</v>
      </c>
      <c r="C226" s="683" t="n">
        <v>304.51</v>
      </c>
      <c r="D226" s="679" t="n">
        <f aca="false">+(B226/$B$2)*$D$2</f>
        <v>97.038206089301</v>
      </c>
      <c r="E226" s="680" t="n">
        <f aca="false">+(C226/$C$2)*$E$2</f>
        <v>112.079944053885</v>
      </c>
    </row>
    <row r="227" customFormat="false" ht="12.75" hidden="false" customHeight="false" outlineLevel="0" collapsed="false">
      <c r="A227" s="682" t="n">
        <v>36181</v>
      </c>
      <c r="B227" s="683" t="n">
        <v>29.797</v>
      </c>
      <c r="C227" s="683" t="n">
        <v>306.99</v>
      </c>
      <c r="D227" s="679" t="n">
        <f aca="false">+(B227/$B$2)*$D$2</f>
        <v>97.9713289932268</v>
      </c>
      <c r="E227" s="680" t="n">
        <f aca="false">+(C227/$C$2)*$E$2</f>
        <v>112.992749089035</v>
      </c>
    </row>
    <row r="228" customFormat="false" ht="12.75" hidden="false" customHeight="false" outlineLevel="0" collapsed="false">
      <c r="A228" s="682" t="n">
        <v>36182</v>
      </c>
      <c r="B228" s="683" t="n">
        <v>30.0808</v>
      </c>
      <c r="C228" s="683" t="n">
        <v>308.73</v>
      </c>
      <c r="D228" s="679" t="n">
        <f aca="false">+(B228/$B$2)*$D$2</f>
        <v>98.9044518971526</v>
      </c>
      <c r="E228" s="680" t="n">
        <f aca="false">+(C228/$C$2)*$E$2</f>
        <v>113.633184879826</v>
      </c>
    </row>
    <row r="229" customFormat="false" ht="12.75" hidden="false" customHeight="false" outlineLevel="0" collapsed="false">
      <c r="A229" s="682" t="n">
        <v>36185</v>
      </c>
      <c r="B229" s="683" t="n">
        <v>30.024</v>
      </c>
      <c r="C229" s="683" t="n">
        <v>308.61</v>
      </c>
      <c r="D229" s="679" t="n">
        <f aca="false">+(B229/$B$2)*$D$2</f>
        <v>98.7176957979878</v>
      </c>
      <c r="E229" s="680" t="n">
        <f aca="false">+(C229/$C$2)*$E$2</f>
        <v>113.589016894254</v>
      </c>
    </row>
    <row r="230" customFormat="false" ht="12.75" hidden="false" customHeight="false" outlineLevel="0" collapsed="false">
      <c r="A230" s="682" t="n">
        <v>36186</v>
      </c>
      <c r="B230" s="683" t="n">
        <v>29.8537</v>
      </c>
      <c r="C230" s="683" t="n">
        <v>308.01</v>
      </c>
      <c r="D230" s="679" t="n">
        <f aca="false">+(B230/$B$2)*$D$2</f>
        <v>98.1577562964424</v>
      </c>
      <c r="E230" s="680" t="n">
        <f aca="false">+(C230/$C$2)*$E$2</f>
        <v>113.368176966396</v>
      </c>
    </row>
    <row r="231" customFormat="false" ht="12.75" hidden="false" customHeight="false" outlineLevel="0" collapsed="false">
      <c r="A231" s="682" t="n">
        <v>36187</v>
      </c>
      <c r="B231" s="683" t="n">
        <v>29.3429</v>
      </c>
      <c r="C231" s="683" t="n">
        <v>303.82</v>
      </c>
      <c r="D231" s="679" t="n">
        <f aca="false">+(B231/$B$2)*$D$2</f>
        <v>96.4782665877556</v>
      </c>
      <c r="E231" s="680" t="n">
        <f aca="false">+(C231/$C$2)*$E$2</f>
        <v>111.825978136847</v>
      </c>
    </row>
    <row r="232" customFormat="false" ht="12.75" hidden="false" customHeight="false" outlineLevel="0" collapsed="false">
      <c r="A232" s="682" t="n">
        <v>36188</v>
      </c>
      <c r="B232" s="683" t="n">
        <v>29.3544</v>
      </c>
      <c r="C232" s="683" t="n">
        <v>303.19</v>
      </c>
      <c r="D232" s="679" t="n">
        <f aca="false">+(B232/$B$2)*$D$2</f>
        <v>96.5160781219175</v>
      </c>
      <c r="E232" s="680" t="n">
        <f aca="false">+(C232/$C$2)*$E$2</f>
        <v>111.594096212595</v>
      </c>
    </row>
    <row r="233" customFormat="false" ht="12.75" hidden="false" customHeight="false" outlineLevel="0" collapsed="false">
      <c r="A233" s="682" t="n">
        <v>36189</v>
      </c>
      <c r="B233" s="683" t="n">
        <v>28.8364</v>
      </c>
      <c r="C233" s="683" t="n">
        <v>302.8</v>
      </c>
      <c r="D233" s="679" t="n">
        <f aca="false">+(B233/$B$2)*$D$2</f>
        <v>94.8129151048859</v>
      </c>
      <c r="E233" s="680" t="n">
        <f aca="false">+(C233/$C$2)*$E$2</f>
        <v>111.450550259487</v>
      </c>
    </row>
    <row r="234" customFormat="false" ht="12.75" hidden="false" customHeight="false" outlineLevel="0" collapsed="false">
      <c r="A234" s="682" t="n">
        <v>36192</v>
      </c>
      <c r="B234" s="683" t="n">
        <v>28.376</v>
      </c>
      <c r="C234" s="683" t="n">
        <v>296.66</v>
      </c>
      <c r="D234" s="679" t="n">
        <f aca="false">+(B234/$B$2)*$D$2</f>
        <v>93.299138554613</v>
      </c>
      <c r="E234" s="680" t="n">
        <f aca="false">+(C234/$C$2)*$E$2</f>
        <v>109.190621664397</v>
      </c>
    </row>
    <row r="235" customFormat="false" ht="12.75" hidden="false" customHeight="false" outlineLevel="0" collapsed="false">
      <c r="A235" s="682" t="n">
        <v>36193</v>
      </c>
      <c r="B235" s="683" t="n">
        <v>28.0882</v>
      </c>
      <c r="C235" s="683" t="n">
        <v>294.98</v>
      </c>
      <c r="D235" s="679" t="n">
        <f aca="false">+(B235/$B$2)*$D$2</f>
        <v>92.3528638127178</v>
      </c>
      <c r="E235" s="680" t="n">
        <f aca="false">+(C235/$C$2)*$E$2</f>
        <v>108.572269866392</v>
      </c>
    </row>
    <row r="236" customFormat="false" ht="12.75" hidden="false" customHeight="false" outlineLevel="0" collapsed="false">
      <c r="A236" s="682" t="n">
        <v>36194</v>
      </c>
      <c r="B236" s="683" t="n">
        <v>28.4911</v>
      </c>
      <c r="C236" s="683" t="n">
        <v>294.95</v>
      </c>
      <c r="D236" s="679" t="n">
        <f aca="false">+(B236/$B$2)*$D$2</f>
        <v>93.6775826921812</v>
      </c>
      <c r="E236" s="680" t="n">
        <f aca="false">+(C236/$C$2)*$E$2</f>
        <v>108.561227869999</v>
      </c>
    </row>
    <row r="237" customFormat="false" ht="12.75" hidden="false" customHeight="false" outlineLevel="0" collapsed="false">
      <c r="A237" s="682" t="n">
        <v>36195</v>
      </c>
      <c r="B237" s="683" t="n">
        <v>28.3184</v>
      </c>
      <c r="C237" s="683" t="n">
        <v>291.29</v>
      </c>
      <c r="D237" s="679" t="n">
        <f aca="false">+(B237/$B$2)*$D$2</f>
        <v>93.1097520878543</v>
      </c>
      <c r="E237" s="680" t="n">
        <f aca="false">+(C237/$C$2)*$E$2</f>
        <v>107.214104310059</v>
      </c>
    </row>
    <row r="238" customFormat="false" ht="12.75" hidden="false" customHeight="false" outlineLevel="0" collapsed="false">
      <c r="A238" s="682" t="n">
        <v>36196</v>
      </c>
      <c r="B238" s="683" t="n">
        <v>28.376</v>
      </c>
      <c r="C238" s="683" t="n">
        <v>293.6</v>
      </c>
      <c r="D238" s="679" t="n">
        <f aca="false">+(B238/$B$2)*$D$2</f>
        <v>93.299138554613</v>
      </c>
      <c r="E238" s="680" t="n">
        <f aca="false">+(C238/$C$2)*$E$2</f>
        <v>108.064338032316</v>
      </c>
    </row>
    <row r="239" customFormat="false" ht="12.75" hidden="false" customHeight="false" outlineLevel="0" collapsed="false">
      <c r="A239" s="682" t="n">
        <v>36199</v>
      </c>
      <c r="B239" s="683" t="n">
        <v>28.6637</v>
      </c>
      <c r="C239" s="683" t="n">
        <v>296.06</v>
      </c>
      <c r="D239" s="679" t="n">
        <f aca="false">+(B239/$B$2)*$D$2</f>
        <v>94.245084500559</v>
      </c>
      <c r="E239" s="680" t="n">
        <f aca="false">+(C239/$C$2)*$E$2</f>
        <v>108.969781736538</v>
      </c>
    </row>
    <row r="240" customFormat="false" ht="12.75" hidden="false" customHeight="false" outlineLevel="0" collapsed="false">
      <c r="A240" s="682" t="n">
        <v>36200</v>
      </c>
      <c r="B240" s="683" t="n">
        <v>28.2033</v>
      </c>
      <c r="C240" s="683" t="n">
        <v>293.72</v>
      </c>
      <c r="D240" s="679" t="n">
        <f aca="false">+(B240/$B$2)*$D$2</f>
        <v>92.7313079502861</v>
      </c>
      <c r="E240" s="680" t="n">
        <f aca="false">+(C240/$C$2)*$E$2</f>
        <v>108.108506017888</v>
      </c>
    </row>
    <row r="241" customFormat="false" ht="12.75" hidden="false" customHeight="false" outlineLevel="0" collapsed="false">
      <c r="A241" s="682" t="n">
        <v>36201</v>
      </c>
      <c r="B241" s="683" t="n">
        <v>28.7789</v>
      </c>
      <c r="C241" s="683" t="n">
        <v>293.96</v>
      </c>
      <c r="D241" s="679" t="n">
        <f aca="false">+(B241/$B$2)*$D$2</f>
        <v>94.6238574340764</v>
      </c>
      <c r="E241" s="680" t="n">
        <f aca="false">+(C241/$C$2)*$E$2</f>
        <v>108.196841989032</v>
      </c>
    </row>
    <row r="242" customFormat="false" ht="12.75" hidden="false" customHeight="false" outlineLevel="0" collapsed="false">
      <c r="A242" s="682" t="n">
        <v>36202</v>
      </c>
      <c r="B242" s="683" t="n">
        <v>27.973</v>
      </c>
      <c r="C242" s="683" t="n">
        <v>291.47</v>
      </c>
      <c r="D242" s="679" t="n">
        <f aca="false">+(B242/$B$2)*$D$2</f>
        <v>91.9740908792004</v>
      </c>
      <c r="E242" s="680" t="n">
        <f aca="false">+(C242/$C$2)*$E$2</f>
        <v>107.280356288417</v>
      </c>
    </row>
    <row r="243" customFormat="false" ht="12.75" hidden="false" customHeight="false" outlineLevel="0" collapsed="false">
      <c r="A243" s="682" t="n">
        <v>36203</v>
      </c>
      <c r="B243" s="683" t="n">
        <v>27.1672</v>
      </c>
      <c r="C243" s="683" t="n">
        <v>286.44</v>
      </c>
      <c r="D243" s="679" t="n">
        <f aca="false">+(B243/$B$2)*$D$2</f>
        <v>89.3246531202736</v>
      </c>
      <c r="E243" s="680" t="n">
        <f aca="false">+(C243/$C$2)*$E$2</f>
        <v>105.428981559866</v>
      </c>
    </row>
    <row r="244" customFormat="false" ht="12.75" hidden="false" customHeight="false" outlineLevel="0" collapsed="false">
      <c r="A244" s="682" t="n">
        <v>36207</v>
      </c>
      <c r="B244" s="683" t="n">
        <v>27.8579</v>
      </c>
      <c r="C244" s="683" t="n">
        <v>288.21</v>
      </c>
      <c r="D244" s="679" t="n">
        <f aca="false">+(B244/$B$2)*$D$2</f>
        <v>91.5956467416321</v>
      </c>
      <c r="E244" s="680" t="n">
        <f aca="false">+(C244/$C$2)*$E$2</f>
        <v>106.08045934705</v>
      </c>
    </row>
    <row r="245" customFormat="false" ht="12.75" hidden="false" customHeight="false" outlineLevel="0" collapsed="false">
      <c r="A245" s="682" t="n">
        <v>36208</v>
      </c>
      <c r="B245" s="683" t="n">
        <v>28.1457</v>
      </c>
      <c r="C245" s="683" t="n">
        <v>291.41</v>
      </c>
      <c r="D245" s="679" t="n">
        <f aca="false">+(B245/$B$2)*$D$2</f>
        <v>92.5419214835273</v>
      </c>
      <c r="E245" s="680" t="n">
        <f aca="false">+(C245/$C$2)*$E$2</f>
        <v>107.258272295631</v>
      </c>
    </row>
    <row r="246" customFormat="false" ht="12.75" hidden="false" customHeight="false" outlineLevel="0" collapsed="false">
      <c r="A246" s="682" t="n">
        <v>36209</v>
      </c>
      <c r="B246" s="683" t="n">
        <v>28.4335</v>
      </c>
      <c r="C246" s="683" t="n">
        <v>295.25</v>
      </c>
      <c r="D246" s="679" t="n">
        <f aca="false">+(B246/$B$2)*$D$2</f>
        <v>93.4881962254225</v>
      </c>
      <c r="E246" s="680" t="n">
        <f aca="false">+(C246/$C$2)*$E$2</f>
        <v>108.671647833928</v>
      </c>
    </row>
    <row r="247" customFormat="false" ht="12.75" hidden="false" customHeight="false" outlineLevel="0" collapsed="false">
      <c r="A247" s="682" t="n">
        <v>36210</v>
      </c>
      <c r="B247" s="683" t="n">
        <v>28.1457</v>
      </c>
      <c r="C247" s="683" t="n">
        <v>295.58</v>
      </c>
      <c r="D247" s="679" t="n">
        <f aca="false">+(B247/$B$2)*$D$2</f>
        <v>92.5419214835273</v>
      </c>
      <c r="E247" s="680" t="n">
        <f aca="false">+(C247/$C$2)*$E$2</f>
        <v>108.793109794251</v>
      </c>
    </row>
    <row r="248" customFormat="false" ht="12.75" hidden="false" customHeight="false" outlineLevel="0" collapsed="false">
      <c r="A248" s="682" t="n">
        <v>36213</v>
      </c>
      <c r="B248" s="683" t="n">
        <v>27.6853</v>
      </c>
      <c r="C248" s="683" t="n">
        <v>298.75</v>
      </c>
      <c r="D248" s="679" t="n">
        <f aca="false">+(B248/$B$2)*$D$2</f>
        <v>91.0281449332544</v>
      </c>
      <c r="E248" s="680" t="n">
        <f aca="false">+(C248/$C$2)*$E$2</f>
        <v>109.959880746439</v>
      </c>
    </row>
    <row r="249" customFormat="false" ht="12.75" hidden="false" customHeight="false" outlineLevel="0" collapsed="false">
      <c r="A249" s="682" t="n">
        <v>36214</v>
      </c>
      <c r="B249" s="683" t="n">
        <v>27.5701</v>
      </c>
      <c r="C249" s="683" t="n">
        <v>296.27</v>
      </c>
      <c r="D249" s="679" t="n">
        <f aca="false">+(B249/$B$2)*$D$2</f>
        <v>90.649371999737</v>
      </c>
      <c r="E249" s="680" t="n">
        <f aca="false">+(C249/$C$2)*$E$2</f>
        <v>109.047075711289</v>
      </c>
    </row>
    <row r="250" customFormat="false" ht="12.75" hidden="false" customHeight="false" outlineLevel="0" collapsed="false">
      <c r="A250" s="682" t="n">
        <v>36215</v>
      </c>
      <c r="B250" s="683" t="n">
        <v>27.2248</v>
      </c>
      <c r="C250" s="683" t="n">
        <v>297.44</v>
      </c>
      <c r="D250" s="679" t="n">
        <f aca="false">+(B250/$B$2)*$D$2</f>
        <v>89.5140395870323</v>
      </c>
      <c r="E250" s="680" t="n">
        <f aca="false">+(C250/$C$2)*$E$2</f>
        <v>109.477713570614</v>
      </c>
    </row>
    <row r="251" customFormat="false" ht="12.75" hidden="false" customHeight="false" outlineLevel="0" collapsed="false">
      <c r="A251" s="682" t="n">
        <v>36216</v>
      </c>
      <c r="B251" s="683" t="n">
        <v>26.5917</v>
      </c>
      <c r="C251" s="683" t="n">
        <v>294.11</v>
      </c>
      <c r="D251" s="679" t="n">
        <f aca="false">+(B251/$B$2)*$D$2</f>
        <v>87.4324324324324</v>
      </c>
      <c r="E251" s="680" t="n">
        <f aca="false">+(C251/$C$2)*$E$2</f>
        <v>108.252051970996</v>
      </c>
    </row>
    <row r="252" customFormat="false" ht="12.75" hidden="false" customHeight="false" outlineLevel="0" collapsed="false">
      <c r="A252" s="682" t="n">
        <v>36217</v>
      </c>
      <c r="B252" s="683" t="n">
        <v>26.8795</v>
      </c>
      <c r="C252" s="683" t="n">
        <v>293.87</v>
      </c>
      <c r="D252" s="679" t="n">
        <f aca="false">+(B252/$B$2)*$D$2</f>
        <v>88.3787071743276</v>
      </c>
      <c r="E252" s="680" t="n">
        <f aca="false">+(C252/$C$2)*$E$2</f>
        <v>108.163715999853</v>
      </c>
    </row>
    <row r="253" customFormat="false" ht="12.75" hidden="false" customHeight="false" outlineLevel="0" collapsed="false">
      <c r="A253" s="682" t="n">
        <v>36220</v>
      </c>
      <c r="B253" s="683" t="n">
        <v>27.1097</v>
      </c>
      <c r="C253" s="683" t="n">
        <v>291.02</v>
      </c>
      <c r="D253" s="679" t="n">
        <f aca="false">+(B253/$B$2)*$D$2</f>
        <v>89.1355954494641</v>
      </c>
      <c r="E253" s="680" t="n">
        <f aca="false">+(C253/$C$2)*$E$2</f>
        <v>107.114726342523</v>
      </c>
    </row>
    <row r="254" customFormat="false" ht="12.75" hidden="false" customHeight="false" outlineLevel="0" collapsed="false">
      <c r="A254" s="682" t="n">
        <v>36221</v>
      </c>
      <c r="B254" s="683" t="n">
        <v>27.1097</v>
      </c>
      <c r="C254" s="683" t="n">
        <v>290.72</v>
      </c>
      <c r="D254" s="679" t="n">
        <f aca="false">+(B254/$B$2)*$D$2</f>
        <v>89.1355954494641</v>
      </c>
      <c r="E254" s="680" t="n">
        <f aca="false">+(C254/$C$2)*$E$2</f>
        <v>107.004306378593</v>
      </c>
    </row>
    <row r="255" customFormat="false" ht="12.75" hidden="false" customHeight="false" outlineLevel="0" collapsed="false">
      <c r="A255" s="682" t="n">
        <v>36222</v>
      </c>
      <c r="B255" s="683" t="n">
        <v>27.3399</v>
      </c>
      <c r="C255" s="683" t="n">
        <v>292.97</v>
      </c>
      <c r="D255" s="679" t="n">
        <f aca="false">+(B255/$B$2)*$D$2</f>
        <v>89.8924837246005</v>
      </c>
      <c r="E255" s="680" t="n">
        <f aca="false">+(C255/$C$2)*$E$2</f>
        <v>107.832456108064</v>
      </c>
    </row>
    <row r="256" customFormat="false" ht="12.75" hidden="false" customHeight="false" outlineLevel="0" collapsed="false">
      <c r="A256" s="682" t="n">
        <v>36223</v>
      </c>
      <c r="B256" s="683" t="n">
        <v>27.6277</v>
      </c>
      <c r="C256" s="683" t="n">
        <v>297.11</v>
      </c>
      <c r="D256" s="679" t="n">
        <f aca="false">+(B256/$B$2)*$D$2</f>
        <v>90.8387584664957</v>
      </c>
      <c r="E256" s="680" t="n">
        <f aca="false">+(C256/$C$2)*$E$2</f>
        <v>109.356251610291</v>
      </c>
    </row>
    <row r="257" customFormat="false" ht="12.75" hidden="false" customHeight="false" outlineLevel="0" collapsed="false">
      <c r="A257" s="682" t="n">
        <v>36224</v>
      </c>
      <c r="B257" s="683" t="n">
        <v>28.0882</v>
      </c>
      <c r="C257" s="683" t="n">
        <v>301.51</v>
      </c>
      <c r="D257" s="679" t="n">
        <f aca="false">+(B257/$B$2)*$D$2</f>
        <v>92.3528638127178</v>
      </c>
      <c r="E257" s="680" t="n">
        <f aca="false">+(C257/$C$2)*$E$2</f>
        <v>110.97574441459</v>
      </c>
    </row>
    <row r="258" customFormat="false" ht="12.75" hidden="false" customHeight="false" outlineLevel="0" collapsed="false">
      <c r="A258" s="682" t="n">
        <v>36227</v>
      </c>
      <c r="B258" s="683" t="n">
        <v>27.5126</v>
      </c>
      <c r="C258" s="683" t="n">
        <v>299.23</v>
      </c>
      <c r="D258" s="679" t="n">
        <f aca="false">+(B258/$B$2)*$D$2</f>
        <v>90.4603143289275</v>
      </c>
      <c r="E258" s="680" t="n">
        <f aca="false">+(C258/$C$2)*$E$2</f>
        <v>110.136552688726</v>
      </c>
    </row>
    <row r="259" customFormat="false" ht="12.75" hidden="false" customHeight="false" outlineLevel="0" collapsed="false">
      <c r="A259" s="682" t="n">
        <v>36228</v>
      </c>
      <c r="B259" s="683" t="n">
        <v>27.1672</v>
      </c>
      <c r="C259" s="683" t="n">
        <v>295.01</v>
      </c>
      <c r="D259" s="679" t="n">
        <f aca="false">+(B259/$B$2)*$D$2</f>
        <v>89.3246531202736</v>
      </c>
      <c r="E259" s="680" t="n">
        <f aca="false">+(C259/$C$2)*$E$2</f>
        <v>108.583311862785</v>
      </c>
    </row>
    <row r="260" customFormat="false" ht="12.75" hidden="false" customHeight="false" outlineLevel="0" collapsed="false">
      <c r="A260" s="682" t="n">
        <v>36229</v>
      </c>
      <c r="B260" s="683" t="n">
        <v>26.7643</v>
      </c>
      <c r="C260" s="683" t="n">
        <v>298.63</v>
      </c>
      <c r="D260" s="679" t="n">
        <f aca="false">+(B260/$B$2)*$D$2</f>
        <v>87.9999342408101</v>
      </c>
      <c r="E260" s="680" t="n">
        <f aca="false">+(C260/$C$2)*$E$2</f>
        <v>109.915712760867</v>
      </c>
    </row>
    <row r="261" customFormat="false" ht="12.75" hidden="false" customHeight="false" outlineLevel="0" collapsed="false">
      <c r="A261" s="682" t="n">
        <v>36230</v>
      </c>
      <c r="B261" s="683" t="n">
        <v>26.8795</v>
      </c>
      <c r="C261" s="683" t="n">
        <v>301.57</v>
      </c>
      <c r="D261" s="679" t="n">
        <f aca="false">+(B261/$B$2)*$D$2</f>
        <v>88.3787071743276</v>
      </c>
      <c r="E261" s="680" t="n">
        <f aca="false">+(C261/$C$2)*$E$2</f>
        <v>110.997828407376</v>
      </c>
    </row>
    <row r="262" customFormat="false" ht="12.75" hidden="false" customHeight="false" outlineLevel="0" collapsed="false">
      <c r="A262" s="682" t="n">
        <v>36231</v>
      </c>
      <c r="B262" s="683" t="n">
        <v>27.3399</v>
      </c>
      <c r="C262" s="683" t="n">
        <v>304.51</v>
      </c>
      <c r="D262" s="679" t="n">
        <f aca="false">+(B262/$B$2)*$D$2</f>
        <v>89.8924837246005</v>
      </c>
      <c r="E262" s="680" t="n">
        <f aca="false">+(C262/$C$2)*$E$2</f>
        <v>112.079944053885</v>
      </c>
    </row>
    <row r="263" customFormat="false" ht="12.75" hidden="false" customHeight="false" outlineLevel="0" collapsed="false">
      <c r="A263" s="682" t="n">
        <v>36234</v>
      </c>
      <c r="B263" s="683" t="n">
        <v>26.7643</v>
      </c>
      <c r="C263" s="683" t="n">
        <v>301.96</v>
      </c>
      <c r="D263" s="679" t="n">
        <f aca="false">+(B263/$B$2)*$D$2</f>
        <v>87.9999342408101</v>
      </c>
      <c r="E263" s="680" t="n">
        <f aca="false">+(C263/$C$2)*$E$2</f>
        <v>111.141374360484</v>
      </c>
    </row>
    <row r="264" customFormat="false" ht="12.75" hidden="false" customHeight="false" outlineLevel="0" collapsed="false">
      <c r="A264" s="682" t="n">
        <v>36235</v>
      </c>
      <c r="B264" s="683" t="n">
        <v>26.8219</v>
      </c>
      <c r="C264" s="683" t="n">
        <v>301.54</v>
      </c>
      <c r="D264" s="679" t="n">
        <f aca="false">+(B264/$B$2)*$D$2</f>
        <v>88.1893207075689</v>
      </c>
      <c r="E264" s="680" t="n">
        <f aca="false">+(C264/$C$2)*$E$2</f>
        <v>110.986786410983</v>
      </c>
    </row>
    <row r="265" customFormat="false" ht="12.75" hidden="false" customHeight="false" outlineLevel="0" collapsed="false">
      <c r="A265" s="682" t="n">
        <v>36236</v>
      </c>
      <c r="B265" s="683" t="n">
        <v>26.7068</v>
      </c>
      <c r="C265" s="683" t="n">
        <v>302.41</v>
      </c>
      <c r="D265" s="679" t="n">
        <f aca="false">+(B265/$B$2)*$D$2</f>
        <v>87.8108765700007</v>
      </c>
      <c r="E265" s="680" t="n">
        <f aca="false">+(C265/$C$2)*$E$2</f>
        <v>111.307004306379</v>
      </c>
    </row>
    <row r="266" customFormat="false" ht="12.75" hidden="false" customHeight="false" outlineLevel="0" collapsed="false">
      <c r="A266" s="682" t="n">
        <v>36237</v>
      </c>
      <c r="B266" s="683" t="n">
        <v>26.5917</v>
      </c>
      <c r="C266" s="683" t="n">
        <v>306.16</v>
      </c>
      <c r="D266" s="679" t="n">
        <f aca="false">+(B266/$B$2)*$D$2</f>
        <v>87.4324324324324</v>
      </c>
      <c r="E266" s="680" t="n">
        <f aca="false">+(C266/$C$2)*$E$2</f>
        <v>112.687253855497</v>
      </c>
    </row>
    <row r="267" customFormat="false" ht="12.75" hidden="false" customHeight="false" outlineLevel="0" collapsed="false">
      <c r="A267" s="682" t="n">
        <v>36238</v>
      </c>
      <c r="B267" s="683" t="n">
        <v>26.2463</v>
      </c>
      <c r="C267" s="683" t="n">
        <v>303.94</v>
      </c>
      <c r="D267" s="679" t="n">
        <f aca="false">+(B267/$B$2)*$D$2</f>
        <v>86.2967712237785</v>
      </c>
      <c r="E267" s="680" t="n">
        <f aca="false">+(C267/$C$2)*$E$2</f>
        <v>111.870146122419</v>
      </c>
    </row>
    <row r="268" customFormat="false" ht="12.75" hidden="false" customHeight="false" outlineLevel="0" collapsed="false">
      <c r="A268" s="682" t="n">
        <v>36241</v>
      </c>
      <c r="B268" s="683" t="n">
        <v>26.0736</v>
      </c>
      <c r="C268" s="683" t="n">
        <v>303.22</v>
      </c>
      <c r="D268" s="679" t="n">
        <f aca="false">+(B268/$B$2)*$D$2</f>
        <v>85.7289406194516</v>
      </c>
      <c r="E268" s="680" t="n">
        <f aca="false">+(C268/$C$2)*$E$2</f>
        <v>111.605138208988</v>
      </c>
    </row>
    <row r="269" customFormat="false" ht="12.75" hidden="false" customHeight="false" outlineLevel="0" collapsed="false">
      <c r="A269" s="682" t="n">
        <v>36242</v>
      </c>
      <c r="B269" s="683" t="n">
        <v>25.7283</v>
      </c>
      <c r="C269" s="683" t="n">
        <v>299.95</v>
      </c>
      <c r="D269" s="679" t="n">
        <f aca="false">+(B269/$B$2)*$D$2</f>
        <v>84.5936082067469</v>
      </c>
      <c r="E269" s="680" t="n">
        <f aca="false">+(C269/$C$2)*$E$2</f>
        <v>110.401560602157</v>
      </c>
    </row>
    <row r="270" customFormat="false" ht="12.75" hidden="false" customHeight="false" outlineLevel="0" collapsed="false">
      <c r="A270" s="682" t="n">
        <v>36243</v>
      </c>
      <c r="B270" s="683" t="n">
        <v>26.5341</v>
      </c>
      <c r="C270" s="683" t="n">
        <v>305.05</v>
      </c>
      <c r="D270" s="679" t="n">
        <f aca="false">+(B270/$B$2)*$D$2</f>
        <v>87.2430459656737</v>
      </c>
      <c r="E270" s="680" t="n">
        <f aca="false">+(C270/$C$2)*$E$2</f>
        <v>112.278699988958</v>
      </c>
    </row>
    <row r="271" customFormat="false" ht="12.75" hidden="false" customHeight="false" outlineLevel="0" collapsed="false">
      <c r="A271" s="682" t="n">
        <v>36244</v>
      </c>
      <c r="B271" s="683" t="n">
        <v>26.7068</v>
      </c>
      <c r="C271" s="683" t="n">
        <v>304.39</v>
      </c>
      <c r="D271" s="679" t="n">
        <f aca="false">+(B271/$B$2)*$D$2</f>
        <v>87.8108765700007</v>
      </c>
      <c r="E271" s="680" t="n">
        <f aca="false">+(C271/$C$2)*$E$2</f>
        <v>112.035776068313</v>
      </c>
    </row>
    <row r="272" customFormat="false" ht="12.75" hidden="false" customHeight="false" outlineLevel="0" collapsed="false">
      <c r="A272" s="682" t="n">
        <v>36245</v>
      </c>
      <c r="B272" s="683" t="n">
        <v>26.0736</v>
      </c>
      <c r="C272" s="683" t="n">
        <v>299.77</v>
      </c>
      <c r="D272" s="679" t="n">
        <f aca="false">+(B272/$B$2)*$D$2</f>
        <v>85.7289406194516</v>
      </c>
      <c r="E272" s="680" t="n">
        <f aca="false">+(C272/$C$2)*$E$2</f>
        <v>110.335308623799</v>
      </c>
    </row>
    <row r="273" customFormat="false" ht="12.75" hidden="false" customHeight="false" outlineLevel="0" collapsed="false">
      <c r="A273" s="682" t="n">
        <v>36248</v>
      </c>
      <c r="B273" s="683" t="n">
        <v>25.9585</v>
      </c>
      <c r="C273" s="683" t="n">
        <v>300.31</v>
      </c>
      <c r="D273" s="679" t="n">
        <f aca="false">+(B273/$B$2)*$D$2</f>
        <v>85.3504964818833</v>
      </c>
      <c r="E273" s="680" t="n">
        <f aca="false">+(C273/$C$2)*$E$2</f>
        <v>110.534064558872</v>
      </c>
    </row>
    <row r="274" customFormat="false" ht="12.75" hidden="false" customHeight="false" outlineLevel="0" collapsed="false">
      <c r="A274" s="682" t="n">
        <v>36249</v>
      </c>
      <c r="B274" s="683" t="n">
        <v>25.4981</v>
      </c>
      <c r="C274" s="683" t="n">
        <v>293.93</v>
      </c>
      <c r="D274" s="679" t="n">
        <f aca="false">+(B274/$B$2)*$D$2</f>
        <v>83.8367199316104</v>
      </c>
      <c r="E274" s="680" t="n">
        <f aca="false">+(C274/$C$2)*$E$2</f>
        <v>108.185799992639</v>
      </c>
    </row>
    <row r="275" customFormat="false" ht="12.75" hidden="false" customHeight="false" outlineLevel="0" collapsed="false">
      <c r="A275" s="682" t="n">
        <v>36250</v>
      </c>
      <c r="B275" s="683" t="n">
        <v>25.3254</v>
      </c>
      <c r="C275" s="683" t="n">
        <v>292.28</v>
      </c>
      <c r="D275" s="679" t="n">
        <f aca="false">+(B275/$B$2)*$D$2</f>
        <v>83.2688893272835</v>
      </c>
      <c r="E275" s="680" t="n">
        <f aca="false">+(C275/$C$2)*$E$2</f>
        <v>107.578490191027</v>
      </c>
    </row>
    <row r="276" customFormat="false" ht="12.75" hidden="false" customHeight="false" outlineLevel="0" collapsed="false">
      <c r="A276" s="682" t="n">
        <v>36251</v>
      </c>
      <c r="B276" s="683" t="n">
        <v>25.9585</v>
      </c>
      <c r="C276" s="683" t="n">
        <v>295.01</v>
      </c>
      <c r="D276" s="679" t="n">
        <f aca="false">+(B276/$B$2)*$D$2</f>
        <v>85.3504964818833</v>
      </c>
      <c r="E276" s="680" t="n">
        <f aca="false">+(C276/$C$2)*$E$2</f>
        <v>108.583311862785</v>
      </c>
    </row>
    <row r="277" customFormat="false" ht="12.75" hidden="false" customHeight="false" outlineLevel="0" collapsed="false">
      <c r="A277" s="682" t="n">
        <v>36255</v>
      </c>
      <c r="B277" s="683" t="n">
        <v>26.4765</v>
      </c>
      <c r="C277" s="683" t="n">
        <v>297.23</v>
      </c>
      <c r="D277" s="679" t="n">
        <f aca="false">+(B277/$B$2)*$D$2</f>
        <v>87.053659498915</v>
      </c>
      <c r="E277" s="680" t="n">
        <f aca="false">+(C277/$C$2)*$E$2</f>
        <v>109.400419595863</v>
      </c>
    </row>
    <row r="278" customFormat="false" ht="12.75" hidden="false" customHeight="false" outlineLevel="0" collapsed="false">
      <c r="A278" s="682" t="n">
        <v>36256</v>
      </c>
      <c r="B278" s="683" t="n">
        <v>26.3614</v>
      </c>
      <c r="C278" s="683" t="n">
        <v>293.57</v>
      </c>
      <c r="D278" s="679" t="n">
        <f aca="false">+(B278/$B$2)*$D$2</f>
        <v>86.6752153613467</v>
      </c>
      <c r="E278" s="680" t="n">
        <f aca="false">+(C278/$C$2)*$E$2</f>
        <v>108.053296035923</v>
      </c>
    </row>
    <row r="279" customFormat="false" ht="12.75" hidden="false" customHeight="false" outlineLevel="0" collapsed="false">
      <c r="A279" s="682" t="n">
        <v>36257</v>
      </c>
      <c r="B279" s="683" t="n">
        <v>26.3614</v>
      </c>
      <c r="C279" s="683" t="n">
        <v>292.37</v>
      </c>
      <c r="D279" s="679" t="n">
        <f aca="false">+(B279/$B$2)*$D$2</f>
        <v>86.6752153613467</v>
      </c>
      <c r="E279" s="680" t="n">
        <f aca="false">+(C279/$C$2)*$E$2</f>
        <v>107.611616180205</v>
      </c>
    </row>
    <row r="280" customFormat="false" ht="12.75" hidden="false" customHeight="false" outlineLevel="0" collapsed="false">
      <c r="A280" s="682" t="n">
        <v>36258</v>
      </c>
      <c r="B280" s="683" t="n">
        <v>26.5341</v>
      </c>
      <c r="C280" s="683" t="n">
        <v>297.11</v>
      </c>
      <c r="D280" s="679" t="n">
        <f aca="false">+(B280/$B$2)*$D$2</f>
        <v>87.2430459656737</v>
      </c>
      <c r="E280" s="680" t="n">
        <f aca="false">+(C280/$C$2)*$E$2</f>
        <v>109.356251610291</v>
      </c>
    </row>
    <row r="281" customFormat="false" ht="12.75" hidden="false" customHeight="false" outlineLevel="0" collapsed="false">
      <c r="A281" s="682" t="n">
        <v>36259</v>
      </c>
      <c r="B281" s="683" t="n">
        <v>26.2463</v>
      </c>
      <c r="C281" s="683" t="n">
        <v>296.33</v>
      </c>
      <c r="D281" s="679" t="n">
        <f aca="false">+(B281/$B$2)*$D$2</f>
        <v>86.2967712237785</v>
      </c>
      <c r="E281" s="680" t="n">
        <f aca="false">+(C281/$C$2)*$E$2</f>
        <v>109.069159704075</v>
      </c>
    </row>
    <row r="282" customFormat="false" ht="12.75" hidden="false" customHeight="false" outlineLevel="0" collapsed="false">
      <c r="A282" s="682" t="n">
        <v>36262</v>
      </c>
      <c r="B282" s="683" t="n">
        <v>26.5341</v>
      </c>
      <c r="C282" s="683" t="n">
        <v>298.75</v>
      </c>
      <c r="D282" s="679" t="n">
        <f aca="false">+(B282/$B$2)*$D$2</f>
        <v>87.2430459656737</v>
      </c>
      <c r="E282" s="680" t="n">
        <f aca="false">+(C282/$C$2)*$E$2</f>
        <v>109.959880746439</v>
      </c>
    </row>
    <row r="283" customFormat="false" ht="12.75" hidden="false" customHeight="false" outlineLevel="0" collapsed="false">
      <c r="A283" s="682" t="n">
        <v>36263</v>
      </c>
      <c r="B283" s="683" t="n">
        <v>26.7068</v>
      </c>
      <c r="C283" s="683" t="n">
        <v>298.01</v>
      </c>
      <c r="D283" s="679" t="n">
        <f aca="false">+(B283/$B$2)*$D$2</f>
        <v>87.8108765700007</v>
      </c>
      <c r="E283" s="680" t="n">
        <f aca="false">+(C283/$C$2)*$E$2</f>
        <v>109.68751150208</v>
      </c>
    </row>
    <row r="284" customFormat="false" ht="12.75" hidden="false" customHeight="false" outlineLevel="0" collapsed="false">
      <c r="A284" s="682" t="n">
        <v>36264</v>
      </c>
      <c r="B284" s="683" t="n">
        <v>26.3039</v>
      </c>
      <c r="C284" s="683" t="n">
        <v>291.59</v>
      </c>
      <c r="D284" s="679" t="n">
        <f aca="false">+(B284/$B$2)*$D$2</f>
        <v>86.4861576905372</v>
      </c>
      <c r="E284" s="680" t="n">
        <f aca="false">+(C284/$C$2)*$E$2</f>
        <v>107.324524273989</v>
      </c>
    </row>
    <row r="285" customFormat="false" ht="12.75" hidden="false" customHeight="false" outlineLevel="0" collapsed="false">
      <c r="A285" s="682" t="n">
        <v>36265</v>
      </c>
      <c r="B285" s="683" t="n">
        <v>26.3614</v>
      </c>
      <c r="C285" s="683" t="n">
        <v>293.96</v>
      </c>
      <c r="D285" s="679" t="n">
        <f aca="false">+(B285/$B$2)*$D$2</f>
        <v>86.6752153613467</v>
      </c>
      <c r="E285" s="680" t="n">
        <f aca="false">+(C285/$C$2)*$E$2</f>
        <v>108.196841989032</v>
      </c>
    </row>
    <row r="286" customFormat="false" ht="12.75" hidden="false" customHeight="false" outlineLevel="0" collapsed="false">
      <c r="A286" s="682" t="n">
        <v>36266</v>
      </c>
      <c r="B286" s="683" t="n">
        <v>26.8219</v>
      </c>
      <c r="C286" s="683" t="n">
        <v>296.15</v>
      </c>
      <c r="D286" s="679" t="n">
        <f aca="false">+(B286/$B$2)*$D$2</f>
        <v>88.1893207075689</v>
      </c>
      <c r="E286" s="680" t="n">
        <f aca="false">+(C286/$C$2)*$E$2</f>
        <v>109.002907725717</v>
      </c>
    </row>
    <row r="287" customFormat="false" ht="12.75" hidden="false" customHeight="false" outlineLevel="0" collapsed="false">
      <c r="A287" s="682" t="n">
        <v>36269</v>
      </c>
      <c r="B287" s="683" t="n">
        <v>27.5126</v>
      </c>
      <c r="C287" s="683" t="n">
        <v>298.42</v>
      </c>
      <c r="D287" s="679" t="n">
        <f aca="false">+(B287/$B$2)*$D$2</f>
        <v>90.4603143289275</v>
      </c>
      <c r="E287" s="680" t="n">
        <f aca="false">+(C287/$C$2)*$E$2</f>
        <v>109.838418786117</v>
      </c>
    </row>
    <row r="288" customFormat="false" ht="12.75" hidden="false" customHeight="false" outlineLevel="0" collapsed="false">
      <c r="A288" s="682" t="n">
        <v>36270</v>
      </c>
      <c r="B288" s="683" t="n">
        <v>28.0882</v>
      </c>
      <c r="C288" s="683" t="n">
        <v>303.52</v>
      </c>
      <c r="D288" s="679" t="n">
        <f aca="false">+(B288/$B$2)*$D$2</f>
        <v>92.3528638127178</v>
      </c>
      <c r="E288" s="680" t="n">
        <f aca="false">+(C288/$C$2)*$E$2</f>
        <v>111.715558172918</v>
      </c>
    </row>
    <row r="289" customFormat="false" ht="12.75" hidden="false" customHeight="false" outlineLevel="0" collapsed="false">
      <c r="A289" s="682" t="n">
        <v>36271</v>
      </c>
      <c r="B289" s="683" t="n">
        <v>28.1457</v>
      </c>
      <c r="C289" s="683" t="n">
        <v>302.35</v>
      </c>
      <c r="D289" s="679" t="n">
        <f aca="false">+(B289/$B$2)*$D$2</f>
        <v>92.5419214835273</v>
      </c>
      <c r="E289" s="680" t="n">
        <f aca="false">+(C289/$C$2)*$E$2</f>
        <v>111.284920313593</v>
      </c>
    </row>
    <row r="290" customFormat="false" ht="12.75" hidden="false" customHeight="false" outlineLevel="0" collapsed="false">
      <c r="A290" s="682" t="n">
        <v>36272</v>
      </c>
      <c r="B290" s="683" t="n">
        <v>27.8004</v>
      </c>
      <c r="C290" s="683" t="n">
        <v>302.44</v>
      </c>
      <c r="D290" s="679" t="n">
        <f aca="false">+(B290/$B$2)*$D$2</f>
        <v>91.4065890708227</v>
      </c>
      <c r="E290" s="680" t="n">
        <f aca="false">+(C290/$C$2)*$E$2</f>
        <v>111.318046302772</v>
      </c>
    </row>
    <row r="291" customFormat="false" ht="12.75" hidden="false" customHeight="false" outlineLevel="0" collapsed="false">
      <c r="A291" s="682" t="n">
        <v>36273</v>
      </c>
      <c r="B291" s="683" t="n">
        <v>27.8579</v>
      </c>
      <c r="C291" s="683" t="n">
        <v>301.27</v>
      </c>
      <c r="D291" s="679" t="n">
        <f aca="false">+(B291/$B$2)*$D$2</f>
        <v>91.5956467416321</v>
      </c>
      <c r="E291" s="680" t="n">
        <f aca="false">+(C291/$C$2)*$E$2</f>
        <v>110.887408443447</v>
      </c>
    </row>
    <row r="292" customFormat="false" ht="12.75" hidden="false" customHeight="false" outlineLevel="0" collapsed="false">
      <c r="A292" s="682" t="n">
        <v>36276</v>
      </c>
      <c r="B292" s="683" t="n">
        <v>27.455</v>
      </c>
      <c r="C292" s="683" t="n">
        <v>302.59</v>
      </c>
      <c r="D292" s="679" t="n">
        <f aca="false">+(B292/$B$2)*$D$2</f>
        <v>90.2709278621687</v>
      </c>
      <c r="E292" s="680" t="n">
        <f aca="false">+(C292/$C$2)*$E$2</f>
        <v>111.373256284736</v>
      </c>
    </row>
    <row r="293" customFormat="false" ht="12.75" hidden="false" customHeight="false" outlineLevel="0" collapsed="false">
      <c r="A293" s="682" t="n">
        <v>36277</v>
      </c>
      <c r="B293" s="683" t="n">
        <v>27.455</v>
      </c>
      <c r="C293" s="683" t="n">
        <v>305.71</v>
      </c>
      <c r="D293" s="679" t="n">
        <f aca="false">+(B293/$B$2)*$D$2</f>
        <v>90.2709278621687</v>
      </c>
      <c r="E293" s="680" t="n">
        <f aca="false">+(C293/$C$2)*$E$2</f>
        <v>112.521623909603</v>
      </c>
    </row>
    <row r="294" customFormat="false" ht="12.75" hidden="false" customHeight="false" outlineLevel="0" collapsed="false">
      <c r="A294" s="682" t="n">
        <v>36278</v>
      </c>
      <c r="B294" s="683" t="n">
        <v>27.6277</v>
      </c>
      <c r="C294" s="683" t="n">
        <v>307.95</v>
      </c>
      <c r="D294" s="679" t="n">
        <f aca="false">+(B294/$B$2)*$D$2</f>
        <v>90.8387584664957</v>
      </c>
      <c r="E294" s="680" t="n">
        <f aca="false">+(C294/$C$2)*$E$2</f>
        <v>113.34609297361</v>
      </c>
    </row>
    <row r="295" customFormat="false" ht="12.75" hidden="false" customHeight="false" outlineLevel="0" collapsed="false">
      <c r="A295" s="682" t="n">
        <v>36279</v>
      </c>
      <c r="B295" s="683" t="n">
        <v>28.6328</v>
      </c>
      <c r="C295" s="683" t="n">
        <v>311.31</v>
      </c>
      <c r="D295" s="679" t="n">
        <f aca="false">+(B295/$B$2)*$D$2</f>
        <v>94.1434865522457</v>
      </c>
      <c r="E295" s="680" t="n">
        <f aca="false">+(C295/$C$2)*$E$2</f>
        <v>114.58279656962</v>
      </c>
    </row>
    <row r="296" customFormat="false" ht="12.75" hidden="false" customHeight="false" outlineLevel="0" collapsed="false">
      <c r="A296" s="682" t="n">
        <v>36280</v>
      </c>
      <c r="B296" s="683" t="n">
        <v>27.8731</v>
      </c>
      <c r="C296" s="683" t="n">
        <v>311.55</v>
      </c>
      <c r="D296" s="679" t="n">
        <f aca="false">+(B296/$B$2)*$D$2</f>
        <v>91.6456237259157</v>
      </c>
      <c r="E296" s="680" t="n">
        <f aca="false">+(C296/$C$2)*$E$2</f>
        <v>114.671132540763</v>
      </c>
    </row>
    <row r="297" customFormat="false" ht="12.75" hidden="false" customHeight="false" outlineLevel="0" collapsed="false">
      <c r="A297" s="682" t="n">
        <v>36283</v>
      </c>
      <c r="B297" s="683" t="n">
        <v>28.5159</v>
      </c>
      <c r="C297" s="683" t="n">
        <v>316.34</v>
      </c>
      <c r="D297" s="679" t="n">
        <f aca="false">+(B297/$B$2)*$D$2</f>
        <v>93.7591240875912</v>
      </c>
      <c r="E297" s="680" t="n">
        <f aca="false">+(C297/$C$2)*$E$2</f>
        <v>116.434171298171</v>
      </c>
    </row>
    <row r="298" customFormat="false" ht="12.75" hidden="false" customHeight="false" outlineLevel="0" collapsed="false">
      <c r="A298" s="682" t="n">
        <v>36284</v>
      </c>
      <c r="B298" s="683" t="n">
        <v>28.2822</v>
      </c>
      <c r="C298" s="683" t="n">
        <v>313.32</v>
      </c>
      <c r="D298" s="679" t="n">
        <f aca="false">+(B298/$B$2)*$D$2</f>
        <v>92.9907279542316</v>
      </c>
      <c r="E298" s="680" t="n">
        <f aca="false">+(C298/$C$2)*$E$2</f>
        <v>115.322610327947</v>
      </c>
    </row>
    <row r="299" customFormat="false" ht="12.75" hidden="false" customHeight="false" outlineLevel="0" collapsed="false">
      <c r="A299" s="682" t="n">
        <v>36285</v>
      </c>
      <c r="B299" s="683" t="n">
        <v>28.1653</v>
      </c>
      <c r="C299" s="683" t="n">
        <v>314.87</v>
      </c>
      <c r="D299" s="679" t="n">
        <f aca="false">+(B299/$B$2)*$D$2</f>
        <v>92.6063654895772</v>
      </c>
      <c r="E299" s="680" t="n">
        <f aca="false">+(C299/$C$2)*$E$2</f>
        <v>115.893113474916</v>
      </c>
    </row>
    <row r="300" customFormat="false" ht="12.75" hidden="false" customHeight="false" outlineLevel="0" collapsed="false">
      <c r="A300" s="682" t="n">
        <v>36286</v>
      </c>
      <c r="B300" s="683" t="n">
        <v>28.8081</v>
      </c>
      <c r="C300" s="683" t="n">
        <v>314.78</v>
      </c>
      <c r="D300" s="679" t="n">
        <f aca="false">+(B300/$B$2)*$D$2</f>
        <v>94.7198658512527</v>
      </c>
      <c r="E300" s="680" t="n">
        <f aca="false">+(C300/$C$2)*$E$2</f>
        <v>115.859987485737</v>
      </c>
    </row>
    <row r="301" customFormat="false" ht="12.75" hidden="false" customHeight="false" outlineLevel="0" collapsed="false">
      <c r="A301" s="682" t="n">
        <v>36287</v>
      </c>
      <c r="B301" s="683" t="n">
        <v>28.8081</v>
      </c>
      <c r="C301" s="683" t="n">
        <v>315.95</v>
      </c>
      <c r="D301" s="679" t="n">
        <f aca="false">+(B301/$B$2)*$D$2</f>
        <v>94.7198658512527</v>
      </c>
      <c r="E301" s="680" t="n">
        <f aca="false">+(C301/$C$2)*$E$2</f>
        <v>116.290625345062</v>
      </c>
    </row>
    <row r="302" customFormat="false" ht="12.75" hidden="false" customHeight="false" outlineLevel="0" collapsed="false">
      <c r="A302" s="682" t="n">
        <v>36290</v>
      </c>
      <c r="B302" s="683" t="n">
        <v>28.9834</v>
      </c>
      <c r="C302" s="683" t="n">
        <v>314.81</v>
      </c>
      <c r="D302" s="679" t="n">
        <f aca="false">+(B302/$B$2)*$D$2</f>
        <v>95.2962451502597</v>
      </c>
      <c r="E302" s="680" t="n">
        <f aca="false">+(C302/$C$2)*$E$2</f>
        <v>115.87102948213</v>
      </c>
    </row>
    <row r="303" customFormat="false" ht="12.75" hidden="false" customHeight="false" outlineLevel="0" collapsed="false">
      <c r="A303" s="682" t="n">
        <v>36291</v>
      </c>
      <c r="B303" s="683" t="n">
        <v>29.0418</v>
      </c>
      <c r="C303" s="683" t="n">
        <v>314.78</v>
      </c>
      <c r="D303" s="679" t="n">
        <f aca="false">+(B303/$B$2)*$D$2</f>
        <v>95.4882619846124</v>
      </c>
      <c r="E303" s="680" t="n">
        <f aca="false">+(C303/$C$2)*$E$2</f>
        <v>115.859987485737</v>
      </c>
    </row>
    <row r="304" customFormat="false" ht="12.75" hidden="false" customHeight="false" outlineLevel="0" collapsed="false">
      <c r="A304" s="682" t="n">
        <v>36292</v>
      </c>
      <c r="B304" s="683" t="n">
        <v>29.4509</v>
      </c>
      <c r="C304" s="683" t="n">
        <v>315.86</v>
      </c>
      <c r="D304" s="679" t="n">
        <f aca="false">+(B304/$B$2)*$D$2</f>
        <v>96.8333662129283</v>
      </c>
      <c r="E304" s="680" t="n">
        <f aca="false">+(C304/$C$2)*$E$2</f>
        <v>116.257499355884</v>
      </c>
    </row>
    <row r="305" customFormat="false" ht="12.75" hidden="false" customHeight="false" outlineLevel="0" collapsed="false">
      <c r="A305" s="682" t="n">
        <v>36293</v>
      </c>
      <c r="B305" s="683" t="n">
        <v>30.8533</v>
      </c>
      <c r="C305" s="683" t="n">
        <v>320.39</v>
      </c>
      <c r="D305" s="679" t="n">
        <f aca="false">+(B305/$B$2)*$D$2</f>
        <v>101.444400604985</v>
      </c>
      <c r="E305" s="680" t="n">
        <f aca="false">+(C305/$C$2)*$E$2</f>
        <v>117.924840811219</v>
      </c>
    </row>
    <row r="306" customFormat="false" ht="12.75" hidden="false" customHeight="false" outlineLevel="0" collapsed="false">
      <c r="A306" s="682" t="n">
        <v>36294</v>
      </c>
      <c r="B306" s="683" t="n">
        <v>30.5027</v>
      </c>
      <c r="C306" s="683" t="n">
        <v>315.98</v>
      </c>
      <c r="D306" s="679" t="n">
        <f aca="false">+(B306/$B$2)*$D$2</f>
        <v>100.29164200697</v>
      </c>
      <c r="E306" s="680" t="n">
        <f aca="false">+(C306/$C$2)*$E$2</f>
        <v>116.301667341455</v>
      </c>
    </row>
    <row r="307" customFormat="false" ht="12.75" hidden="false" customHeight="false" outlineLevel="0" collapsed="false">
      <c r="A307" s="682" t="n">
        <v>36297</v>
      </c>
      <c r="B307" s="683" t="n">
        <v>31.0286</v>
      </c>
      <c r="C307" s="683" t="n">
        <v>319.25</v>
      </c>
      <c r="D307" s="679" t="n">
        <f aca="false">+(B307/$B$2)*$D$2</f>
        <v>102.020779903992</v>
      </c>
      <c r="E307" s="680" t="n">
        <f aca="false">+(C307/$C$2)*$E$2</f>
        <v>117.505244948287</v>
      </c>
    </row>
    <row r="308" customFormat="false" ht="12.75" hidden="false" customHeight="false" outlineLevel="0" collapsed="false">
      <c r="A308" s="682" t="n">
        <v>36298</v>
      </c>
      <c r="B308" s="683" t="n">
        <v>31.2039</v>
      </c>
      <c r="C308" s="683" t="n">
        <v>318.83</v>
      </c>
      <c r="D308" s="679" t="n">
        <f aca="false">+(B308/$B$2)*$D$2</f>
        <v>102.597159202999</v>
      </c>
      <c r="E308" s="680" t="n">
        <f aca="false">+(C308/$C$2)*$E$2</f>
        <v>117.350656998785</v>
      </c>
    </row>
    <row r="309" customFormat="false" ht="12.75" hidden="false" customHeight="false" outlineLevel="0" collapsed="false">
      <c r="A309" s="682" t="n">
        <v>36299</v>
      </c>
      <c r="B309" s="683" t="n">
        <v>31.6129</v>
      </c>
      <c r="C309" s="683" t="n">
        <v>324.25</v>
      </c>
      <c r="D309" s="679" t="n">
        <f aca="false">+(B309/$B$2)*$D$2</f>
        <v>103.941934635365</v>
      </c>
      <c r="E309" s="680" t="n">
        <f aca="false">+(C309/$C$2)*$E$2</f>
        <v>119.345577680445</v>
      </c>
    </row>
    <row r="310" customFormat="false" ht="12.75" hidden="false" customHeight="false" outlineLevel="0" collapsed="false">
      <c r="A310" s="682" t="n">
        <v>36300</v>
      </c>
      <c r="B310" s="683" t="n">
        <v>31.2623</v>
      </c>
      <c r="C310" s="683" t="n">
        <v>324.61</v>
      </c>
      <c r="D310" s="679" t="n">
        <f aca="false">+(B310/$B$2)*$D$2</f>
        <v>102.789176037351</v>
      </c>
      <c r="E310" s="680" t="n">
        <f aca="false">+(C310/$C$2)*$E$2</f>
        <v>119.47808163716</v>
      </c>
    </row>
    <row r="311" customFormat="false" ht="12.75" hidden="false" customHeight="false" outlineLevel="0" collapsed="false">
      <c r="A311" s="682" t="n">
        <v>36301</v>
      </c>
      <c r="B311" s="683" t="n">
        <v>31.2039</v>
      </c>
      <c r="C311" s="683" t="n">
        <v>325.15</v>
      </c>
      <c r="D311" s="679" t="n">
        <f aca="false">+(B311/$B$2)*$D$2</f>
        <v>102.597159202999</v>
      </c>
      <c r="E311" s="680" t="n">
        <f aca="false">+(C311/$C$2)*$E$2</f>
        <v>119.676837572233</v>
      </c>
    </row>
    <row r="312" customFormat="false" ht="12.75" hidden="false" customHeight="false" outlineLevel="0" collapsed="false">
      <c r="A312" s="682" t="n">
        <v>36304</v>
      </c>
      <c r="B312" s="683" t="n">
        <v>31.496</v>
      </c>
      <c r="C312" s="683" t="n">
        <v>327.43</v>
      </c>
      <c r="D312" s="679" t="n">
        <f aca="false">+(B312/$B$2)*$D$2</f>
        <v>103.557572170711</v>
      </c>
      <c r="E312" s="680" t="n">
        <f aca="false">+(C312/$C$2)*$E$2</f>
        <v>120.516029298097</v>
      </c>
    </row>
    <row r="313" customFormat="false" ht="12.75" hidden="false" customHeight="false" outlineLevel="0" collapsed="false">
      <c r="A313" s="682" t="n">
        <v>36305</v>
      </c>
      <c r="B313" s="683" t="n">
        <v>31.6714</v>
      </c>
      <c r="C313" s="683" t="n">
        <v>328.48</v>
      </c>
      <c r="D313" s="679" t="n">
        <f aca="false">+(B313/$B$2)*$D$2</f>
        <v>104.134280265667</v>
      </c>
      <c r="E313" s="680" t="n">
        <f aca="false">+(C313/$C$2)*$E$2</f>
        <v>120.90249917185</v>
      </c>
    </row>
    <row r="314" customFormat="false" ht="12.75" hidden="false" customHeight="false" outlineLevel="0" collapsed="false">
      <c r="A314" s="682" t="n">
        <v>36306</v>
      </c>
      <c r="B314" s="683" t="n">
        <v>31.9635</v>
      </c>
      <c r="C314" s="683" t="n">
        <v>330.63</v>
      </c>
      <c r="D314" s="679" t="n">
        <f aca="false">+(B314/$B$2)*$D$2</f>
        <v>105.094693233379</v>
      </c>
      <c r="E314" s="680" t="n">
        <f aca="false">+(C314/$C$2)*$E$2</f>
        <v>121.693842246678</v>
      </c>
    </row>
    <row r="315" customFormat="false" ht="12.75" hidden="false" customHeight="false" outlineLevel="0" collapsed="false">
      <c r="A315" s="682" t="n">
        <v>36307</v>
      </c>
      <c r="B315" s="683" t="n">
        <v>31.4376</v>
      </c>
      <c r="C315" s="683" t="n">
        <v>325.78</v>
      </c>
      <c r="D315" s="679" t="n">
        <f aca="false">+(B315/$B$2)*$D$2</f>
        <v>103.365555336358</v>
      </c>
      <c r="E315" s="680" t="n">
        <f aca="false">+(C315/$C$2)*$E$2</f>
        <v>119.908719496485</v>
      </c>
    </row>
    <row r="316" customFormat="false" ht="12.75" hidden="false" customHeight="false" outlineLevel="0" collapsed="false">
      <c r="A316" s="682" t="n">
        <v>36308</v>
      </c>
      <c r="B316" s="683" t="n">
        <v>31.9051</v>
      </c>
      <c r="C316" s="683" t="n">
        <v>329.2</v>
      </c>
      <c r="D316" s="679" t="n">
        <f aca="false">+(B316/$B$2)*$D$2</f>
        <v>104.902676399027</v>
      </c>
      <c r="E316" s="680" t="n">
        <f aca="false">+(C316/$C$2)*$E$2</f>
        <v>121.167507085281</v>
      </c>
    </row>
    <row r="317" customFormat="false" ht="12.75" hidden="false" customHeight="false" outlineLevel="0" collapsed="false">
      <c r="A317" s="682" t="n">
        <v>36312</v>
      </c>
      <c r="B317" s="683" t="n">
        <v>30.9117</v>
      </c>
      <c r="C317" s="683" t="n">
        <v>325.42</v>
      </c>
      <c r="D317" s="679" t="n">
        <f aca="false">+(B317/$B$2)*$D$2</f>
        <v>101.636417439337</v>
      </c>
      <c r="E317" s="680" t="n">
        <f aca="false">+(C317/$C$2)*$E$2</f>
        <v>119.77621553977</v>
      </c>
    </row>
    <row r="318" customFormat="false" ht="12.75" hidden="false" customHeight="false" outlineLevel="0" collapsed="false">
      <c r="A318" s="682" t="n">
        <v>36313</v>
      </c>
      <c r="B318" s="683" t="n">
        <v>31.087</v>
      </c>
      <c r="C318" s="683" t="n">
        <v>324.4</v>
      </c>
      <c r="D318" s="679" t="n">
        <f aca="false">+(B318/$B$2)*$D$2</f>
        <v>102.212796738344</v>
      </c>
      <c r="E318" s="680" t="n">
        <f aca="false">+(C318/$C$2)*$E$2</f>
        <v>119.400787662409</v>
      </c>
    </row>
    <row r="319" customFormat="false" ht="12.75" hidden="false" customHeight="false" outlineLevel="0" collapsed="false">
      <c r="A319" s="682" t="n">
        <v>36314</v>
      </c>
      <c r="B319" s="683" t="n">
        <v>31.3207</v>
      </c>
      <c r="C319" s="683" t="n">
        <v>326.47</v>
      </c>
      <c r="D319" s="679" t="n">
        <f aca="false">+(B319/$B$2)*$D$2</f>
        <v>102.981192871704</v>
      </c>
      <c r="E319" s="680" t="n">
        <f aca="false">+(C319/$C$2)*$E$2</f>
        <v>120.162685413523</v>
      </c>
    </row>
    <row r="320" customFormat="false" ht="12.75" hidden="false" customHeight="false" outlineLevel="0" collapsed="false">
      <c r="A320" s="682" t="n">
        <v>36315</v>
      </c>
      <c r="B320" s="683" t="n">
        <v>31.6129</v>
      </c>
      <c r="C320" s="683" t="n">
        <v>330.72</v>
      </c>
      <c r="D320" s="679" t="n">
        <f aca="false">+(B320/$B$2)*$D$2</f>
        <v>103.941934635365</v>
      </c>
      <c r="E320" s="680" t="n">
        <f aca="false">+(C320/$C$2)*$E$2</f>
        <v>121.726968235857</v>
      </c>
    </row>
    <row r="321" customFormat="false" ht="12.75" hidden="false" customHeight="false" outlineLevel="0" collapsed="false">
      <c r="A321" s="682" t="n">
        <v>36318</v>
      </c>
      <c r="B321" s="683" t="n">
        <v>31.087</v>
      </c>
      <c r="C321" s="683" t="n">
        <v>333.27</v>
      </c>
      <c r="D321" s="679" t="n">
        <f aca="false">+(B321/$B$2)*$D$2</f>
        <v>102.212796738344</v>
      </c>
      <c r="E321" s="680" t="n">
        <f aca="false">+(C321/$C$2)*$E$2</f>
        <v>122.665537929258</v>
      </c>
    </row>
    <row r="322" customFormat="false" ht="12.75" hidden="false" customHeight="false" outlineLevel="0" collapsed="false">
      <c r="A322" s="682" t="n">
        <v>36319</v>
      </c>
      <c r="B322" s="683" t="n">
        <v>31.0286</v>
      </c>
      <c r="C322" s="683" t="n">
        <v>332.37</v>
      </c>
      <c r="D322" s="679" t="n">
        <f aca="false">+(B322/$B$2)*$D$2</f>
        <v>102.020779903992</v>
      </c>
      <c r="E322" s="680" t="n">
        <f aca="false">+(C322/$C$2)*$E$2</f>
        <v>122.334278037469</v>
      </c>
    </row>
    <row r="323" customFormat="false" ht="12.75" hidden="false" customHeight="false" outlineLevel="0" collapsed="false">
      <c r="A323" s="682" t="n">
        <v>36320</v>
      </c>
      <c r="B323" s="683" t="n">
        <v>31.0286</v>
      </c>
      <c r="C323" s="683" t="n">
        <v>331.86</v>
      </c>
      <c r="D323" s="679" t="n">
        <f aca="false">+(B323/$B$2)*$D$2</f>
        <v>102.020779903992</v>
      </c>
      <c r="E323" s="680" t="n">
        <f aca="false">+(C323/$C$2)*$E$2</f>
        <v>122.146564098789</v>
      </c>
    </row>
    <row r="324" customFormat="false" ht="12.75" hidden="false" customHeight="false" outlineLevel="0" collapsed="false">
      <c r="A324" s="682" t="n">
        <v>36321</v>
      </c>
      <c r="B324" s="683" t="n">
        <v>30.5027</v>
      </c>
      <c r="C324" s="683" t="n">
        <v>328</v>
      </c>
      <c r="D324" s="679" t="n">
        <f aca="false">+(B324/$B$2)*$D$2</f>
        <v>100.29164200697</v>
      </c>
      <c r="E324" s="680" t="n">
        <f aca="false">+(C324/$C$2)*$E$2</f>
        <v>120.725827229563</v>
      </c>
    </row>
    <row r="325" customFormat="false" ht="12.75" hidden="false" customHeight="false" outlineLevel="0" collapsed="false">
      <c r="A325" s="682" t="n">
        <v>36322</v>
      </c>
      <c r="B325" s="683" t="n">
        <v>30.4442</v>
      </c>
      <c r="C325" s="683" t="n">
        <v>328.72</v>
      </c>
      <c r="D325" s="679" t="n">
        <f aca="false">+(B325/$B$2)*$D$2</f>
        <v>100.099296376669</v>
      </c>
      <c r="E325" s="680" t="n">
        <f aca="false">+(C325/$C$2)*$E$2</f>
        <v>120.990835142994</v>
      </c>
    </row>
    <row r="326" customFormat="false" ht="12.75" hidden="false" customHeight="false" outlineLevel="0" collapsed="false">
      <c r="A326" s="682" t="n">
        <v>36325</v>
      </c>
      <c r="B326" s="683" t="n">
        <v>30.8533</v>
      </c>
      <c r="C326" s="683" t="n">
        <v>331.11</v>
      </c>
      <c r="D326" s="679" t="n">
        <f aca="false">+(B326/$B$2)*$D$2</f>
        <v>101.444400604985</v>
      </c>
      <c r="E326" s="680" t="n">
        <f aca="false">+(C326/$C$2)*$E$2</f>
        <v>121.870514188965</v>
      </c>
    </row>
    <row r="327" customFormat="false" ht="12.75" hidden="false" customHeight="false" outlineLevel="0" collapsed="false">
      <c r="A327" s="682" t="n">
        <v>36326</v>
      </c>
      <c r="B327" s="683" t="n">
        <v>31.6714</v>
      </c>
      <c r="C327" s="683" t="n">
        <v>332.1</v>
      </c>
      <c r="D327" s="679" t="n">
        <f aca="false">+(B327/$B$2)*$D$2</f>
        <v>104.134280265667</v>
      </c>
      <c r="E327" s="680" t="n">
        <f aca="false">+(C327/$C$2)*$E$2</f>
        <v>122.234900069933</v>
      </c>
    </row>
    <row r="328" customFormat="false" ht="12.75" hidden="false" customHeight="false" outlineLevel="0" collapsed="false">
      <c r="A328" s="682" t="n">
        <v>36327</v>
      </c>
      <c r="B328" s="683" t="n">
        <v>31.9051</v>
      </c>
      <c r="C328" s="683" t="n">
        <v>333.45</v>
      </c>
      <c r="D328" s="679" t="n">
        <f aca="false">+(B328/$B$2)*$D$2</f>
        <v>104.902676399027</v>
      </c>
      <c r="E328" s="680" t="n">
        <f aca="false">+(C328/$C$2)*$E$2</f>
        <v>122.731789907615</v>
      </c>
    </row>
    <row r="329" customFormat="false" ht="12.75" hidden="false" customHeight="false" outlineLevel="0" collapsed="false">
      <c r="A329" s="682" t="n">
        <v>36328</v>
      </c>
      <c r="B329" s="683" t="n">
        <v>31.496</v>
      </c>
      <c r="C329" s="683" t="n">
        <v>332.91</v>
      </c>
      <c r="D329" s="679" t="n">
        <f aca="false">+(B329/$B$2)*$D$2</f>
        <v>103.557572170711</v>
      </c>
      <c r="E329" s="680" t="n">
        <f aca="false">+(C329/$C$2)*$E$2</f>
        <v>122.533033972542</v>
      </c>
    </row>
    <row r="330" customFormat="false" ht="12.75" hidden="false" customHeight="false" outlineLevel="0" collapsed="false">
      <c r="A330" s="682" t="n">
        <v>36329</v>
      </c>
      <c r="B330" s="683" t="n">
        <v>31.3792</v>
      </c>
      <c r="C330" s="683" t="n">
        <v>330.1</v>
      </c>
      <c r="D330" s="679" t="n">
        <f aca="false">+(B330/$B$2)*$D$2</f>
        <v>103.173538502006</v>
      </c>
      <c r="E330" s="680" t="n">
        <f aca="false">+(C330/$C$2)*$E$2</f>
        <v>121.498766977069</v>
      </c>
    </row>
    <row r="331" customFormat="false" ht="12.75" hidden="false" customHeight="false" outlineLevel="0" collapsed="false">
      <c r="A331" s="682" t="n">
        <v>36332</v>
      </c>
      <c r="B331" s="683" t="n">
        <v>30.7948</v>
      </c>
      <c r="C331" s="683" t="n">
        <v>326.77</v>
      </c>
      <c r="D331" s="679" t="n">
        <f aca="false">+(B331/$B$2)*$D$2</f>
        <v>101.252054974683</v>
      </c>
      <c r="E331" s="680" t="n">
        <f aca="false">+(C331/$C$2)*$E$2</f>
        <v>120.273105377452</v>
      </c>
    </row>
    <row r="332" customFormat="false" ht="12.75" hidden="false" customHeight="false" outlineLevel="0" collapsed="false">
      <c r="A332" s="682" t="n">
        <v>36333</v>
      </c>
      <c r="B332" s="683" t="n">
        <v>31.0286</v>
      </c>
      <c r="C332" s="683" t="n">
        <v>328.39</v>
      </c>
      <c r="D332" s="679" t="n">
        <f aca="false">+(B332/$B$2)*$D$2</f>
        <v>102.020779903992</v>
      </c>
      <c r="E332" s="680" t="n">
        <f aca="false">+(C332/$C$2)*$E$2</f>
        <v>120.869373182671</v>
      </c>
    </row>
    <row r="333" customFormat="false" ht="12.75" hidden="false" customHeight="false" outlineLevel="0" collapsed="false">
      <c r="A333" s="682" t="n">
        <v>36334</v>
      </c>
      <c r="B333" s="683" t="n">
        <v>31.1454</v>
      </c>
      <c r="C333" s="683" t="n">
        <v>326.68</v>
      </c>
      <c r="D333" s="679" t="n">
        <f aca="false">+(B333/$B$2)*$D$2</f>
        <v>102.404813572697</v>
      </c>
      <c r="E333" s="680" t="n">
        <f aca="false">+(C333/$C$2)*$E$2</f>
        <v>120.239979388273</v>
      </c>
    </row>
    <row r="334" customFormat="false" ht="12.75" hidden="false" customHeight="false" outlineLevel="0" collapsed="false">
      <c r="A334" s="682" t="n">
        <v>36335</v>
      </c>
      <c r="B334" s="683" t="n">
        <v>31.0286</v>
      </c>
      <c r="C334" s="683" t="n">
        <v>324.76</v>
      </c>
      <c r="D334" s="679" t="n">
        <f aca="false">+(B334/$B$2)*$D$2</f>
        <v>102.020779903992</v>
      </c>
      <c r="E334" s="680" t="n">
        <f aca="false">+(C334/$C$2)*$E$2</f>
        <v>119.533291619125</v>
      </c>
    </row>
    <row r="335" customFormat="false" ht="12.75" hidden="false" customHeight="false" outlineLevel="0" collapsed="false">
      <c r="A335" s="682" t="n">
        <v>36336</v>
      </c>
      <c r="B335" s="683" t="n">
        <v>30.7948</v>
      </c>
      <c r="C335" s="683" t="n">
        <v>322.04</v>
      </c>
      <c r="D335" s="679" t="n">
        <f aca="false">+(B335/$B$2)*$D$2</f>
        <v>101.252054974683</v>
      </c>
      <c r="E335" s="680" t="n">
        <f aca="false">+(C335/$C$2)*$E$2</f>
        <v>118.532150612831</v>
      </c>
    </row>
    <row r="336" customFormat="false" ht="12.75" hidden="false" customHeight="false" outlineLevel="0" collapsed="false">
      <c r="A336" s="682" t="n">
        <v>36339</v>
      </c>
      <c r="B336" s="683" t="n">
        <v>30.9701</v>
      </c>
      <c r="C336" s="683" t="n">
        <v>323.29</v>
      </c>
      <c r="D336" s="679" t="n">
        <f aca="false">+(B336/$B$2)*$D$2</f>
        <v>101.82843427369</v>
      </c>
      <c r="E336" s="680" t="n">
        <f aca="false">+(C336/$C$2)*$E$2</f>
        <v>118.99223379587</v>
      </c>
    </row>
    <row r="337" customFormat="false" ht="12.75" hidden="false" customHeight="false" outlineLevel="0" collapsed="false">
      <c r="A337" s="682" t="n">
        <v>36340</v>
      </c>
      <c r="B337" s="683" t="n">
        <v>30.4442</v>
      </c>
      <c r="C337" s="683" t="n">
        <v>322.45</v>
      </c>
      <c r="D337" s="679" t="n">
        <f aca="false">+(B337/$B$2)*$D$2</f>
        <v>100.099296376669</v>
      </c>
      <c r="E337" s="680" t="n">
        <f aca="false">+(C337/$C$2)*$E$2</f>
        <v>118.683057896868</v>
      </c>
    </row>
    <row r="338" customFormat="false" ht="12.75" hidden="false" customHeight="false" outlineLevel="0" collapsed="false">
      <c r="A338" s="682" t="n">
        <v>36341</v>
      </c>
      <c r="B338" s="683" t="n">
        <v>29.9183</v>
      </c>
      <c r="C338" s="683" t="n">
        <v>316.82</v>
      </c>
      <c r="D338" s="679" t="n">
        <f aca="false">+(B338/$B$2)*$D$2</f>
        <v>98.3701584796475</v>
      </c>
      <c r="E338" s="680" t="n">
        <f aca="false">+(C338/$C$2)*$E$2</f>
        <v>116.610843240458</v>
      </c>
    </row>
    <row r="339" customFormat="false" ht="12.75" hidden="false" customHeight="false" outlineLevel="0" collapsed="false">
      <c r="A339" s="682" t="n">
        <v>36342</v>
      </c>
      <c r="B339" s="683" t="n">
        <v>29.9768</v>
      </c>
      <c r="C339" s="683" t="n">
        <v>318.32</v>
      </c>
      <c r="D339" s="679" t="n">
        <f aca="false">+(B339/$B$2)*$D$2</f>
        <v>98.5625041099494</v>
      </c>
      <c r="E339" s="680" t="n">
        <f aca="false">+(C339/$C$2)*$E$2</f>
        <v>117.162943060105</v>
      </c>
    </row>
    <row r="340" customFormat="false" ht="12.75" hidden="false" customHeight="false" outlineLevel="0" collapsed="false">
      <c r="A340" s="682" t="n">
        <v>36343</v>
      </c>
      <c r="B340" s="683" t="n">
        <v>30.3858</v>
      </c>
      <c r="C340" s="683" t="n">
        <v>320.33</v>
      </c>
      <c r="D340" s="679" t="n">
        <f aca="false">+(B340/$B$2)*$D$2</f>
        <v>99.907279542316</v>
      </c>
      <c r="E340" s="680" t="n">
        <f aca="false">+(C340/$C$2)*$E$2</f>
        <v>117.902756818433</v>
      </c>
    </row>
    <row r="341" customFormat="false" ht="12.75" hidden="false" customHeight="false" outlineLevel="0" collapsed="false">
      <c r="A341" s="682" t="n">
        <v>36347</v>
      </c>
      <c r="B341" s="683" t="n">
        <v>30.4442</v>
      </c>
      <c r="C341" s="683" t="n">
        <v>321.38</v>
      </c>
      <c r="D341" s="679" t="n">
        <f aca="false">+(B341/$B$2)*$D$2</f>
        <v>100.099296376669</v>
      </c>
      <c r="E341" s="680" t="n">
        <f aca="false">+(C341/$C$2)*$E$2</f>
        <v>118.289226692186</v>
      </c>
    </row>
    <row r="342" customFormat="false" ht="12.75" hidden="false" customHeight="false" outlineLevel="0" collapsed="false">
      <c r="A342" s="682" t="n">
        <v>36348</v>
      </c>
      <c r="B342" s="683" t="n">
        <v>30.2105</v>
      </c>
      <c r="C342" s="683" t="n">
        <v>321.14</v>
      </c>
      <c r="D342" s="679" t="n">
        <f aca="false">+(B342/$B$2)*$D$2</f>
        <v>99.330900243309</v>
      </c>
      <c r="E342" s="680" t="n">
        <f aca="false">+(C342/$C$2)*$E$2</f>
        <v>118.200890721042</v>
      </c>
    </row>
    <row r="343" customFormat="false" ht="12.75" hidden="false" customHeight="false" outlineLevel="0" collapsed="false">
      <c r="A343" s="682" t="n">
        <v>36349</v>
      </c>
      <c r="B343" s="683" t="n">
        <v>29.743</v>
      </c>
      <c r="C343" s="683" t="n">
        <v>320.69</v>
      </c>
      <c r="D343" s="679" t="n">
        <f aca="false">+(B343/$B$2)*$D$2</f>
        <v>97.7937791806405</v>
      </c>
      <c r="E343" s="680" t="n">
        <f aca="false">+(C343/$C$2)*$E$2</f>
        <v>118.035260775148</v>
      </c>
    </row>
    <row r="344" customFormat="false" ht="12.75" hidden="false" customHeight="false" outlineLevel="0" collapsed="false">
      <c r="A344" s="682" t="n">
        <v>36350</v>
      </c>
      <c r="B344" s="683" t="n">
        <v>29.9183</v>
      </c>
      <c r="C344" s="683" t="n">
        <v>321.71</v>
      </c>
      <c r="D344" s="679" t="n">
        <f aca="false">+(B344/$B$2)*$D$2</f>
        <v>98.3701584796475</v>
      </c>
      <c r="E344" s="680" t="n">
        <f aca="false">+(C344/$C$2)*$E$2</f>
        <v>118.410688652508</v>
      </c>
    </row>
    <row r="345" customFormat="false" ht="12.75" hidden="false" customHeight="false" outlineLevel="0" collapsed="false">
      <c r="A345" s="682" t="n">
        <v>36353</v>
      </c>
      <c r="B345" s="683" t="n">
        <v>29.5677</v>
      </c>
      <c r="C345" s="683" t="n">
        <v>320.3</v>
      </c>
      <c r="D345" s="679" t="n">
        <f aca="false">+(B345/$B$2)*$D$2</f>
        <v>97.2173998816335</v>
      </c>
      <c r="E345" s="680" t="n">
        <f aca="false">+(C345/$C$2)*$E$2</f>
        <v>117.89171482204</v>
      </c>
    </row>
    <row r="346" customFormat="false" ht="12.75" hidden="false" customHeight="false" outlineLevel="0" collapsed="false">
      <c r="A346" s="682" t="n">
        <v>36354</v>
      </c>
      <c r="B346" s="683" t="n">
        <v>29.6262</v>
      </c>
      <c r="C346" s="683" t="n">
        <v>320.3</v>
      </c>
      <c r="D346" s="679" t="n">
        <f aca="false">+(B346/$B$2)*$D$2</f>
        <v>97.4097455119353</v>
      </c>
      <c r="E346" s="680" t="n">
        <f aca="false">+(C346/$C$2)*$E$2</f>
        <v>117.89171482204</v>
      </c>
    </row>
    <row r="347" customFormat="false" ht="12.75" hidden="false" customHeight="false" outlineLevel="0" collapsed="false">
      <c r="A347" s="682" t="n">
        <v>36355</v>
      </c>
      <c r="B347" s="683" t="n">
        <v>29.5677</v>
      </c>
      <c r="C347" s="683" t="n">
        <v>320.36</v>
      </c>
      <c r="D347" s="679" t="n">
        <f aca="false">+(B347/$B$2)*$D$2</f>
        <v>97.2173998816335</v>
      </c>
      <c r="E347" s="680" t="n">
        <f aca="false">+(C347/$C$2)*$E$2</f>
        <v>117.913798814826</v>
      </c>
    </row>
    <row r="348" customFormat="false" ht="12.75" hidden="false" customHeight="false" outlineLevel="0" collapsed="false">
      <c r="A348" s="682" t="n">
        <v>36356</v>
      </c>
      <c r="B348" s="683" t="n">
        <v>29.3924</v>
      </c>
      <c r="C348" s="683" t="n">
        <v>320.57</v>
      </c>
      <c r="D348" s="679" t="n">
        <f aca="false">+(B348/$B$2)*$D$2</f>
        <v>96.6410205826264</v>
      </c>
      <c r="E348" s="680" t="n">
        <f aca="false">+(C348/$C$2)*$E$2</f>
        <v>117.991092789576</v>
      </c>
    </row>
    <row r="349" customFormat="false" ht="12.75" hidden="false" customHeight="false" outlineLevel="0" collapsed="false">
      <c r="A349" s="682" t="n">
        <v>36357</v>
      </c>
      <c r="B349" s="683" t="n">
        <v>29.1587</v>
      </c>
      <c r="C349" s="683" t="n">
        <v>320.24</v>
      </c>
      <c r="D349" s="679" t="n">
        <f aca="false">+(B349/$B$2)*$D$2</f>
        <v>95.8726244492668</v>
      </c>
      <c r="E349" s="680" t="n">
        <f aca="false">+(C349/$C$2)*$E$2</f>
        <v>117.869630829254</v>
      </c>
    </row>
    <row r="350" customFormat="false" ht="12.75" hidden="false" customHeight="false" outlineLevel="0" collapsed="false">
      <c r="A350" s="682" t="n">
        <v>36360</v>
      </c>
      <c r="B350" s="683" t="n">
        <v>29.2755</v>
      </c>
      <c r="C350" s="683" t="n">
        <v>321.41</v>
      </c>
      <c r="D350" s="679" t="n">
        <f aca="false">+(B350/$B$2)*$D$2</f>
        <v>96.256658117972</v>
      </c>
      <c r="E350" s="680" t="n">
        <f aca="false">+(C350/$C$2)*$E$2</f>
        <v>118.300268688579</v>
      </c>
    </row>
    <row r="351" customFormat="false" ht="12.75" hidden="false" customHeight="false" outlineLevel="0" collapsed="false">
      <c r="A351" s="682" t="n">
        <v>36361</v>
      </c>
      <c r="B351" s="683" t="n">
        <v>29.1587</v>
      </c>
      <c r="C351" s="683" t="n">
        <v>321.32</v>
      </c>
      <c r="D351" s="679" t="n">
        <f aca="false">+(B351/$B$2)*$D$2</f>
        <v>95.8726244492668</v>
      </c>
      <c r="E351" s="680" t="n">
        <f aca="false">+(C351/$C$2)*$E$2</f>
        <v>118.2671426994</v>
      </c>
    </row>
    <row r="352" customFormat="false" ht="12.75" hidden="false" customHeight="false" outlineLevel="0" collapsed="false">
      <c r="A352" s="682" t="n">
        <v>36362</v>
      </c>
      <c r="B352" s="683" t="n">
        <v>29.2171</v>
      </c>
      <c r="C352" s="683" t="n">
        <v>321.68</v>
      </c>
      <c r="D352" s="679" t="n">
        <f aca="false">+(B352/$B$2)*$D$2</f>
        <v>96.0646412836194</v>
      </c>
      <c r="E352" s="680" t="n">
        <f aca="false">+(C352/$C$2)*$E$2</f>
        <v>118.399646656115</v>
      </c>
    </row>
    <row r="353" customFormat="false" ht="12.75" hidden="false" customHeight="false" outlineLevel="0" collapsed="false">
      <c r="A353" s="682" t="n">
        <v>36363</v>
      </c>
      <c r="B353" s="683" t="n">
        <v>29.5847</v>
      </c>
      <c r="C353" s="683" t="n">
        <v>321.23</v>
      </c>
      <c r="D353" s="679" t="n">
        <f aca="false">+(B353/$B$2)*$D$2</f>
        <v>97.2732951930032</v>
      </c>
      <c r="E353" s="680" t="n">
        <f aca="false">+(C353/$C$2)*$E$2</f>
        <v>118.234016710221</v>
      </c>
    </row>
    <row r="354" customFormat="false" ht="12.75" hidden="false" customHeight="false" outlineLevel="0" collapsed="false">
      <c r="A354" s="682" t="n">
        <v>36364</v>
      </c>
      <c r="B354" s="683" t="n">
        <v>29.5847</v>
      </c>
      <c r="C354" s="683" t="n">
        <v>320.99</v>
      </c>
      <c r="D354" s="679" t="n">
        <f aca="false">+(B354/$B$2)*$D$2</f>
        <v>97.2732951930032</v>
      </c>
      <c r="E354" s="680" t="n">
        <f aca="false">+(C354/$C$2)*$E$2</f>
        <v>118.145680739078</v>
      </c>
    </row>
    <row r="355" customFormat="false" ht="12.75" hidden="false" customHeight="false" outlineLevel="0" collapsed="false">
      <c r="A355" s="682" t="n">
        <v>36367</v>
      </c>
      <c r="B355" s="683" t="n">
        <v>29.4068</v>
      </c>
      <c r="C355" s="683" t="n">
        <v>320.93</v>
      </c>
      <c r="D355" s="679" t="n">
        <f aca="false">+(B355/$B$2)*$D$2</f>
        <v>96.6883671993161</v>
      </c>
      <c r="E355" s="680" t="n">
        <f aca="false">+(C355/$C$2)*$E$2</f>
        <v>118.123596746292</v>
      </c>
    </row>
    <row r="356" customFormat="false" ht="12.75" hidden="false" customHeight="false" outlineLevel="0" collapsed="false">
      <c r="A356" s="682" t="n">
        <v>36368</v>
      </c>
      <c r="B356" s="683" t="n">
        <v>29.3475</v>
      </c>
      <c r="C356" s="683" t="n">
        <v>319.61</v>
      </c>
      <c r="D356" s="679" t="n">
        <f aca="false">+(B356/$B$2)*$D$2</f>
        <v>96.4933912014204</v>
      </c>
      <c r="E356" s="680" t="n">
        <f aca="false">+(C356/$C$2)*$E$2</f>
        <v>117.637748905002</v>
      </c>
    </row>
    <row r="357" customFormat="false" ht="12.75" hidden="false" customHeight="false" outlineLevel="0" collapsed="false">
      <c r="A357" s="682" t="n">
        <v>36369</v>
      </c>
      <c r="B357" s="683" t="n">
        <v>28.7547</v>
      </c>
      <c r="C357" s="683" t="n">
        <v>317.18</v>
      </c>
      <c r="D357" s="679" t="n">
        <f aca="false">+(B357/$B$2)*$D$2</f>
        <v>94.5442888143618</v>
      </c>
      <c r="E357" s="680" t="n">
        <f aca="false">+(C357/$C$2)*$E$2</f>
        <v>116.743347197173</v>
      </c>
    </row>
    <row r="358" customFormat="false" ht="12.75" hidden="false" customHeight="false" outlineLevel="0" collapsed="false">
      <c r="A358" s="682" t="n">
        <v>36370</v>
      </c>
      <c r="B358" s="683" t="n">
        <v>28.2211</v>
      </c>
      <c r="C358" s="683" t="n">
        <v>313.23</v>
      </c>
      <c r="D358" s="679" t="n">
        <f aca="false">+(B358/$B$2)*$D$2</f>
        <v>92.7898336292497</v>
      </c>
      <c r="E358" s="680" t="n">
        <f aca="false">+(C358/$C$2)*$E$2</f>
        <v>115.289484338768</v>
      </c>
    </row>
    <row r="359" customFormat="false" ht="12.75" hidden="false" customHeight="false" outlineLevel="0" collapsed="false">
      <c r="A359" s="682" t="n">
        <v>36371</v>
      </c>
      <c r="B359" s="683" t="n">
        <v>28.3989</v>
      </c>
      <c r="C359" s="683" t="n">
        <v>314.66</v>
      </c>
      <c r="D359" s="679" t="n">
        <f aca="false">+(B359/$B$2)*$D$2</f>
        <v>93.3744328269876</v>
      </c>
      <c r="E359" s="680" t="n">
        <f aca="false">+(C359/$C$2)*$E$2</f>
        <v>115.815819500166</v>
      </c>
    </row>
    <row r="360" customFormat="false" ht="12.75" hidden="false" customHeight="false" outlineLevel="0" collapsed="false">
      <c r="A360" s="682" t="n">
        <v>36374</v>
      </c>
      <c r="B360" s="683" t="n">
        <v>28.5768</v>
      </c>
      <c r="C360" s="683" t="n">
        <v>315.68</v>
      </c>
      <c r="D360" s="679" t="n">
        <f aca="false">+(B360/$B$2)*$D$2</f>
        <v>93.9593608206747</v>
      </c>
      <c r="E360" s="680" t="n">
        <f aca="false">+(C360/$C$2)*$E$2</f>
        <v>116.191247377526</v>
      </c>
    </row>
    <row r="361" customFormat="false" ht="12.75" hidden="false" customHeight="false" outlineLevel="0" collapsed="false">
      <c r="A361" s="682" t="n">
        <v>36375</v>
      </c>
      <c r="B361" s="683" t="n">
        <v>28.5175</v>
      </c>
      <c r="C361" s="683" t="n">
        <v>316.85</v>
      </c>
      <c r="D361" s="679" t="n">
        <f aca="false">+(B361/$B$2)*$D$2</f>
        <v>93.764384822779</v>
      </c>
      <c r="E361" s="680" t="n">
        <f aca="false">+(C361/$C$2)*$E$2</f>
        <v>116.621885236851</v>
      </c>
    </row>
    <row r="362" customFormat="false" ht="12.75" hidden="false" customHeight="false" outlineLevel="0" collapsed="false">
      <c r="A362" s="682" t="n">
        <v>36376</v>
      </c>
      <c r="B362" s="683" t="n">
        <v>26.976</v>
      </c>
      <c r="C362" s="683" t="n">
        <v>316.64</v>
      </c>
      <c r="D362" s="679" t="n">
        <f aca="false">+(B362/$B$2)*$D$2</f>
        <v>88.6959952653383</v>
      </c>
      <c r="E362" s="680" t="n">
        <f aca="false">+(C362/$C$2)*$E$2</f>
        <v>116.5445912621</v>
      </c>
    </row>
    <row r="363" customFormat="false" ht="12.75" hidden="false" customHeight="false" outlineLevel="0" collapsed="false">
      <c r="A363" s="682" t="n">
        <v>36377</v>
      </c>
      <c r="B363" s="683" t="n">
        <v>27.0946</v>
      </c>
      <c r="C363" s="683" t="n">
        <v>317.72</v>
      </c>
      <c r="D363" s="679" t="n">
        <f aca="false">+(B363/$B$2)*$D$2</f>
        <v>89.0859472611297</v>
      </c>
      <c r="E363" s="680" t="n">
        <f aca="false">+(C363/$C$2)*$E$2</f>
        <v>116.942103132246</v>
      </c>
    </row>
    <row r="364" customFormat="false" ht="12.75" hidden="false" customHeight="false" outlineLevel="0" collapsed="false">
      <c r="A364" s="682" t="n">
        <v>36378</v>
      </c>
      <c r="B364" s="683" t="n">
        <v>26.8575</v>
      </c>
      <c r="C364" s="683" t="n">
        <v>318.38</v>
      </c>
      <c r="D364" s="679" t="n">
        <f aca="false">+(B364/$B$2)*$D$2</f>
        <v>88.3063720654962</v>
      </c>
      <c r="E364" s="680" t="n">
        <f aca="false">+(C364/$C$2)*$E$2</f>
        <v>117.185027052891</v>
      </c>
    </row>
    <row r="365" customFormat="false" ht="12.75" hidden="false" customHeight="false" outlineLevel="0" collapsed="false">
      <c r="A365" s="682" t="n">
        <v>36381</v>
      </c>
      <c r="B365" s="683" t="n">
        <v>26.9167</v>
      </c>
      <c r="C365" s="683" t="n">
        <v>318.95</v>
      </c>
      <c r="D365" s="679" t="n">
        <f aca="false">+(B365/$B$2)*$D$2</f>
        <v>88.5010192674426</v>
      </c>
      <c r="E365" s="680" t="n">
        <f aca="false">+(C365/$C$2)*$E$2</f>
        <v>117.394824984357</v>
      </c>
    </row>
    <row r="366" customFormat="false" ht="12.75" hidden="false" customHeight="false" outlineLevel="0" collapsed="false">
      <c r="A366" s="682" t="n">
        <v>36382</v>
      </c>
      <c r="B366" s="683" t="n">
        <v>26.5017</v>
      </c>
      <c r="C366" s="683" t="n">
        <v>317.69</v>
      </c>
      <c r="D366" s="679" t="n">
        <f aca="false">+(B366/$B$2)*$D$2</f>
        <v>87.1365160781219</v>
      </c>
      <c r="E366" s="680" t="n">
        <f aca="false">+(C366/$C$2)*$E$2</f>
        <v>116.931061135853</v>
      </c>
    </row>
    <row r="367" customFormat="false" ht="12.75" hidden="false" customHeight="false" outlineLevel="0" collapsed="false">
      <c r="A367" s="682" t="n">
        <v>36383</v>
      </c>
      <c r="B367" s="683" t="n">
        <v>26.9167</v>
      </c>
      <c r="C367" s="683" t="n">
        <v>317.24</v>
      </c>
      <c r="D367" s="679" t="n">
        <f aca="false">+(B367/$B$2)*$D$2</f>
        <v>88.5010192674426</v>
      </c>
      <c r="E367" s="680" t="n">
        <f aca="false">+(C367/$C$2)*$E$2</f>
        <v>116.765431189959</v>
      </c>
    </row>
    <row r="368" customFormat="false" ht="12.75" hidden="false" customHeight="false" outlineLevel="0" collapsed="false">
      <c r="A368" s="682" t="n">
        <v>36384</v>
      </c>
      <c r="B368" s="683" t="n">
        <v>26.2053</v>
      </c>
      <c r="C368" s="683" t="n">
        <v>312.6</v>
      </c>
      <c r="D368" s="679" t="n">
        <f aca="false">+(B368/$B$2)*$D$2</f>
        <v>86.1619648845926</v>
      </c>
      <c r="E368" s="680" t="n">
        <f aca="false">+(C368/$C$2)*$E$2</f>
        <v>115.057602414517</v>
      </c>
    </row>
    <row r="369" customFormat="false" ht="12.75" hidden="false" customHeight="false" outlineLevel="0" collapsed="false">
      <c r="A369" s="682" t="n">
        <v>36385</v>
      </c>
      <c r="B369" s="683" t="n">
        <v>26.2646</v>
      </c>
      <c r="C369" s="683" t="n">
        <v>314.39</v>
      </c>
      <c r="D369" s="679" t="n">
        <f aca="false">+(B369/$B$2)*$D$2</f>
        <v>86.3569408824883</v>
      </c>
      <c r="E369" s="680" t="n">
        <f aca="false">+(C369/$C$2)*$E$2</f>
        <v>115.716441532629</v>
      </c>
    </row>
    <row r="370" customFormat="false" ht="12.75" hidden="false" customHeight="false" outlineLevel="0" collapsed="false">
      <c r="A370" s="682" t="n">
        <v>36388</v>
      </c>
      <c r="B370" s="683" t="n">
        <v>26.4424</v>
      </c>
      <c r="C370" s="683" t="n">
        <v>312.58</v>
      </c>
      <c r="D370" s="679" t="n">
        <f aca="false">+(B370/$B$2)*$D$2</f>
        <v>86.9415400802262</v>
      </c>
      <c r="E370" s="680" t="n">
        <f aca="false">+(C370/$C$2)*$E$2</f>
        <v>115.050241083588</v>
      </c>
    </row>
    <row r="371" customFormat="false" ht="12.75" hidden="false" customHeight="false" outlineLevel="0" collapsed="false">
      <c r="A371" s="682" t="n">
        <v>36389</v>
      </c>
      <c r="B371" s="683" t="n">
        <v>26.5017</v>
      </c>
      <c r="C371" s="683" t="n">
        <v>313.06</v>
      </c>
      <c r="D371" s="679" t="n">
        <f aca="false">+(B371/$B$2)*$D$2</f>
        <v>87.1365160781219</v>
      </c>
      <c r="E371" s="680" t="n">
        <f aca="false">+(C371/$C$2)*$E$2</f>
        <v>115.226913025875</v>
      </c>
    </row>
    <row r="372" customFormat="false" ht="12.75" hidden="false" customHeight="false" outlineLevel="0" collapsed="false">
      <c r="A372" s="682" t="n">
        <v>36390</v>
      </c>
      <c r="B372" s="683" t="n">
        <v>27.0946</v>
      </c>
      <c r="C372" s="683" t="n">
        <v>311.33</v>
      </c>
      <c r="D372" s="679" t="n">
        <f aca="false">+(B372/$B$2)*$D$2</f>
        <v>89.0859472611297</v>
      </c>
      <c r="E372" s="680" t="n">
        <f aca="false">+(C372/$C$2)*$E$2</f>
        <v>114.590157900548</v>
      </c>
    </row>
    <row r="373" customFormat="false" ht="12.75" hidden="false" customHeight="false" outlineLevel="0" collapsed="false">
      <c r="A373" s="682" t="n">
        <v>36391</v>
      </c>
      <c r="B373" s="683" t="n">
        <v>28.2211</v>
      </c>
      <c r="C373" s="683" t="n">
        <v>314.86</v>
      </c>
      <c r="D373" s="679" t="n">
        <f aca="false">+(B373/$B$2)*$D$2</f>
        <v>92.7898336292497</v>
      </c>
      <c r="E373" s="680" t="n">
        <f aca="false">+(C373/$C$2)*$E$2</f>
        <v>115.889432809452</v>
      </c>
    </row>
    <row r="374" customFormat="false" ht="12.75" hidden="false" customHeight="false" outlineLevel="0" collapsed="false">
      <c r="A374" s="682" t="n">
        <v>36392</v>
      </c>
      <c r="B374" s="683" t="n">
        <v>28.3397</v>
      </c>
      <c r="C374" s="683" t="n">
        <v>319.64</v>
      </c>
      <c r="D374" s="679" t="n">
        <f aca="false">+(B374/$B$2)*$D$2</f>
        <v>93.1797856250411</v>
      </c>
      <c r="E374" s="680" t="n">
        <f aca="false">+(C374/$C$2)*$E$2</f>
        <v>117.648790901395</v>
      </c>
    </row>
    <row r="375" customFormat="false" ht="12.75" hidden="false" customHeight="false" outlineLevel="0" collapsed="false">
      <c r="A375" s="682" t="n">
        <v>36395</v>
      </c>
      <c r="B375" s="683" t="n">
        <v>28.5175</v>
      </c>
      <c r="C375" s="683" t="n">
        <v>319.58</v>
      </c>
      <c r="D375" s="679" t="n">
        <f aca="false">+(B375/$B$2)*$D$2</f>
        <v>93.764384822779</v>
      </c>
      <c r="E375" s="680" t="n">
        <f aca="false">+(C375/$C$2)*$E$2</f>
        <v>117.626706908609</v>
      </c>
    </row>
    <row r="376" customFormat="false" ht="12.75" hidden="false" customHeight="false" outlineLevel="0" collapsed="false">
      <c r="A376" s="682" t="n">
        <v>36396</v>
      </c>
      <c r="B376" s="683" t="n">
        <v>28.814</v>
      </c>
      <c r="C376" s="683" t="n">
        <v>321.25</v>
      </c>
      <c r="D376" s="679" t="n">
        <f aca="false">+(B376/$B$2)*$D$2</f>
        <v>94.7392648122575</v>
      </c>
      <c r="E376" s="680" t="n">
        <f aca="false">+(C376/$C$2)*$E$2</f>
        <v>118.24137804115</v>
      </c>
    </row>
    <row r="377" customFormat="false" ht="12.75" hidden="false" customHeight="false" outlineLevel="0" collapsed="false">
      <c r="A377" s="682" t="n">
        <v>36397</v>
      </c>
      <c r="B377" s="683" t="n">
        <v>29.5847</v>
      </c>
      <c r="C377" s="683" t="n">
        <v>325.2</v>
      </c>
      <c r="D377" s="679" t="n">
        <f aca="false">+(B377/$B$2)*$D$2</f>
        <v>97.2732951930032</v>
      </c>
      <c r="E377" s="680" t="n">
        <f aca="false">+(C377/$C$2)*$E$2</f>
        <v>119.695240899555</v>
      </c>
    </row>
    <row r="378" customFormat="false" ht="12.75" hidden="false" customHeight="false" outlineLevel="0" collapsed="false">
      <c r="A378" s="682" t="n">
        <v>36398</v>
      </c>
      <c r="B378" s="683" t="n">
        <v>29.3475</v>
      </c>
      <c r="C378" s="683" t="n">
        <v>321.73</v>
      </c>
      <c r="D378" s="679" t="n">
        <f aca="false">+(B378/$B$2)*$D$2</f>
        <v>96.4933912014204</v>
      </c>
      <c r="E378" s="680" t="n">
        <f aca="false">+(C378/$C$2)*$E$2</f>
        <v>118.418049983437</v>
      </c>
    </row>
    <row r="379" customFormat="false" ht="12.75" hidden="false" customHeight="false" outlineLevel="0" collapsed="false">
      <c r="A379" s="682" t="n">
        <v>36399</v>
      </c>
      <c r="B379" s="683" t="n">
        <v>29.5254</v>
      </c>
      <c r="C379" s="683" t="n">
        <v>320.93</v>
      </c>
      <c r="D379" s="679" t="n">
        <f aca="false">+(B379/$B$2)*$D$2</f>
        <v>97.0783191951075</v>
      </c>
      <c r="E379" s="680" t="n">
        <f aca="false">+(C379/$C$2)*$E$2</f>
        <v>118.123596746292</v>
      </c>
    </row>
    <row r="380" customFormat="false" ht="12.75" hidden="false" customHeight="false" outlineLevel="0" collapsed="false">
      <c r="A380" s="682" t="n">
        <v>36402</v>
      </c>
      <c r="B380" s="683" t="n">
        <v>29.1104</v>
      </c>
      <c r="C380" s="683" t="n">
        <v>317.11</v>
      </c>
      <c r="D380" s="679" t="n">
        <f aca="false">+(B380/$B$2)*$D$2</f>
        <v>95.7138160057868</v>
      </c>
      <c r="E380" s="680" t="n">
        <f aca="false">+(C380/$C$2)*$E$2</f>
        <v>116.717582538923</v>
      </c>
    </row>
    <row r="381" customFormat="false" ht="12.75" hidden="false" customHeight="false" outlineLevel="0" collapsed="false">
      <c r="A381" s="682" t="n">
        <v>36403</v>
      </c>
      <c r="B381" s="683" t="n">
        <v>28.814</v>
      </c>
      <c r="C381" s="683" t="n">
        <v>315.86</v>
      </c>
      <c r="D381" s="679" t="n">
        <f aca="false">+(B381/$B$2)*$D$2</f>
        <v>94.7392648122575</v>
      </c>
      <c r="E381" s="680" t="n">
        <f aca="false">+(C381/$C$2)*$E$2</f>
        <v>116.257499355884</v>
      </c>
    </row>
    <row r="382" customFormat="false" ht="12.75" hidden="false" customHeight="false" outlineLevel="0" collapsed="false">
      <c r="A382" s="682" t="n">
        <v>36404</v>
      </c>
      <c r="B382" s="683" t="n">
        <v>28.5768</v>
      </c>
      <c r="C382" s="683" t="n">
        <v>316.95</v>
      </c>
      <c r="D382" s="679" t="n">
        <f aca="false">+(B382/$B$2)*$D$2</f>
        <v>93.9593608206747</v>
      </c>
      <c r="E382" s="680" t="n">
        <f aca="false">+(C382/$C$2)*$E$2</f>
        <v>116.658691891494</v>
      </c>
    </row>
    <row r="383" customFormat="false" ht="12.75" hidden="false" customHeight="false" outlineLevel="0" collapsed="false">
      <c r="A383" s="682" t="n">
        <v>36405</v>
      </c>
      <c r="B383" s="683" t="n">
        <v>28.3989</v>
      </c>
      <c r="C383" s="683" t="n">
        <v>314.6</v>
      </c>
      <c r="D383" s="679" t="n">
        <f aca="false">+(B383/$B$2)*$D$2</f>
        <v>93.3744328269876</v>
      </c>
      <c r="E383" s="680" t="n">
        <f aca="false">+(C383/$C$2)*$E$2</f>
        <v>115.79373550738</v>
      </c>
    </row>
    <row r="384" customFormat="false" ht="12.75" hidden="false" customHeight="false" outlineLevel="0" collapsed="false">
      <c r="A384" s="682" t="n">
        <v>36406</v>
      </c>
      <c r="B384" s="683" t="n">
        <v>29.0511</v>
      </c>
      <c r="C384" s="683" t="n">
        <v>319.61</v>
      </c>
      <c r="D384" s="679" t="n">
        <f aca="false">+(B384/$B$2)*$D$2</f>
        <v>95.5188400078911</v>
      </c>
      <c r="E384" s="680" t="n">
        <f aca="false">+(C384/$C$2)*$E$2</f>
        <v>117.637748905002</v>
      </c>
    </row>
    <row r="385" customFormat="false" ht="12.75" hidden="false" customHeight="false" outlineLevel="0" collapsed="false">
      <c r="A385" s="682" t="n">
        <v>36410</v>
      </c>
      <c r="B385" s="683" t="n">
        <v>28.1025</v>
      </c>
      <c r="C385" s="683" t="n">
        <v>314.6</v>
      </c>
      <c r="D385" s="679" t="n">
        <f aca="false">+(B385/$B$2)*$D$2</f>
        <v>92.3998816334583</v>
      </c>
      <c r="E385" s="680" t="n">
        <f aca="false">+(C385/$C$2)*$E$2</f>
        <v>115.79373550738</v>
      </c>
    </row>
    <row r="386" customFormat="false" ht="12.75" hidden="false" customHeight="false" outlineLevel="0" collapsed="false">
      <c r="A386" s="682" t="n">
        <v>36411</v>
      </c>
      <c r="B386" s="683" t="n">
        <v>27.9246</v>
      </c>
      <c r="C386" s="683" t="n">
        <v>312.64</v>
      </c>
      <c r="D386" s="679" t="n">
        <f aca="false">+(B386/$B$2)*$D$2</f>
        <v>91.8149536397712</v>
      </c>
      <c r="E386" s="680" t="n">
        <f aca="false">+(C386/$C$2)*$E$2</f>
        <v>115.072325076374</v>
      </c>
    </row>
    <row r="387" customFormat="false" ht="12.75" hidden="false" customHeight="false" outlineLevel="0" collapsed="false">
      <c r="A387" s="682" t="n">
        <v>36412</v>
      </c>
      <c r="B387" s="683" t="n">
        <v>27.9246</v>
      </c>
      <c r="C387" s="683" t="n">
        <v>314.12</v>
      </c>
      <c r="D387" s="679" t="n">
        <f aca="false">+(B387/$B$2)*$D$2</f>
        <v>91.8149536397712</v>
      </c>
      <c r="E387" s="680" t="n">
        <f aca="false">+(C387/$C$2)*$E$2</f>
        <v>115.617063565093</v>
      </c>
    </row>
    <row r="388" customFormat="false" ht="12.75" hidden="false" customHeight="false" outlineLevel="0" collapsed="false">
      <c r="A388" s="682" t="n">
        <v>36413</v>
      </c>
      <c r="B388" s="683" t="n">
        <v>28.4582</v>
      </c>
      <c r="C388" s="683" t="n">
        <v>315.95</v>
      </c>
      <c r="D388" s="679" t="n">
        <f aca="false">+(B388/$B$2)*$D$2</f>
        <v>93.5694088248833</v>
      </c>
      <c r="E388" s="680" t="n">
        <f aca="false">+(C388/$C$2)*$E$2</f>
        <v>116.290625345062</v>
      </c>
    </row>
    <row r="389" customFormat="false" ht="12.75" hidden="false" customHeight="false" outlineLevel="0" collapsed="false">
      <c r="A389" s="682" t="n">
        <v>36416</v>
      </c>
      <c r="B389" s="683" t="n">
        <v>28.7547</v>
      </c>
      <c r="C389" s="683" t="n">
        <v>313.54</v>
      </c>
      <c r="D389" s="679" t="n">
        <f aca="false">+(B389/$B$2)*$D$2</f>
        <v>94.5442888143618</v>
      </c>
      <c r="E389" s="680" t="n">
        <f aca="false">+(C389/$C$2)*$E$2</f>
        <v>115.403584968162</v>
      </c>
    </row>
    <row r="390" customFormat="false" ht="12.75" hidden="false" customHeight="false" outlineLevel="0" collapsed="false">
      <c r="A390" s="682" t="n">
        <v>36417</v>
      </c>
      <c r="B390" s="683" t="n">
        <v>28.5175</v>
      </c>
      <c r="C390" s="683" t="n">
        <v>310.91</v>
      </c>
      <c r="D390" s="679" t="n">
        <f aca="false">+(B390/$B$2)*$D$2</f>
        <v>93.764384822779</v>
      </c>
      <c r="E390" s="680" t="n">
        <f aca="false">+(C390/$C$2)*$E$2</f>
        <v>114.435569951047</v>
      </c>
    </row>
    <row r="391" customFormat="false" ht="12.75" hidden="false" customHeight="false" outlineLevel="0" collapsed="false">
      <c r="A391" s="682" t="n">
        <v>36418</v>
      </c>
      <c r="B391" s="683" t="n">
        <v>28.7547</v>
      </c>
      <c r="C391" s="683" t="n">
        <v>310.98</v>
      </c>
      <c r="D391" s="679" t="n">
        <f aca="false">+(B391/$B$2)*$D$2</f>
        <v>94.5442888143618</v>
      </c>
      <c r="E391" s="680" t="n">
        <f aca="false">+(C391/$C$2)*$E$2</f>
        <v>114.461334609297</v>
      </c>
    </row>
    <row r="392" customFormat="false" ht="12.75" hidden="false" customHeight="false" outlineLevel="0" collapsed="false">
      <c r="A392" s="682" t="n">
        <v>36419</v>
      </c>
      <c r="B392" s="683" t="n">
        <v>28.5768</v>
      </c>
      <c r="C392" s="683" t="n">
        <v>309.02</v>
      </c>
      <c r="D392" s="679" t="n">
        <f aca="false">+(B392/$B$2)*$D$2</f>
        <v>93.9593608206747</v>
      </c>
      <c r="E392" s="680" t="n">
        <f aca="false">+(C392/$C$2)*$E$2</f>
        <v>113.739924178291</v>
      </c>
    </row>
    <row r="393" customFormat="false" ht="12.75" hidden="false" customHeight="false" outlineLevel="0" collapsed="false">
      <c r="A393" s="682" t="n">
        <v>36420</v>
      </c>
      <c r="B393" s="683" t="n">
        <v>28.6361</v>
      </c>
      <c r="C393" s="683" t="n">
        <v>310.78</v>
      </c>
      <c r="D393" s="679" t="n">
        <f aca="false">+(B393/$B$2)*$D$2</f>
        <v>94.1543368185704</v>
      </c>
      <c r="E393" s="680" t="n">
        <f aca="false">+(C393/$C$2)*$E$2</f>
        <v>114.387721300011</v>
      </c>
    </row>
    <row r="394" customFormat="false" ht="12.75" hidden="false" customHeight="false" outlineLevel="0" collapsed="false">
      <c r="A394" s="682" t="n">
        <v>36423</v>
      </c>
      <c r="B394" s="683" t="n">
        <v>27.9246</v>
      </c>
      <c r="C394" s="683" t="n">
        <v>308.66</v>
      </c>
      <c r="D394" s="679" t="n">
        <f aca="false">+(B394/$B$2)*$D$2</f>
        <v>91.8149536397712</v>
      </c>
      <c r="E394" s="680" t="n">
        <f aca="false">+(C394/$C$2)*$E$2</f>
        <v>113.607420221576</v>
      </c>
    </row>
    <row r="395" customFormat="false" ht="12.75" hidden="false" customHeight="false" outlineLevel="0" collapsed="false">
      <c r="A395" s="682" t="n">
        <v>36424</v>
      </c>
      <c r="B395" s="683" t="n">
        <v>27.4503</v>
      </c>
      <c r="C395" s="683" t="n">
        <v>302.24</v>
      </c>
      <c r="D395" s="679" t="n">
        <f aca="false">+(B395/$B$2)*$D$2</f>
        <v>90.2554744525547</v>
      </c>
      <c r="E395" s="680" t="n">
        <f aca="false">+(C395/$C$2)*$E$2</f>
        <v>111.244432993485</v>
      </c>
    </row>
    <row r="396" customFormat="false" ht="12.75" hidden="false" customHeight="false" outlineLevel="0" collapsed="false">
      <c r="A396" s="682" t="n">
        <v>36425</v>
      </c>
      <c r="B396" s="683" t="n">
        <v>27.2725</v>
      </c>
      <c r="C396" s="683" t="n">
        <v>300.48</v>
      </c>
      <c r="D396" s="679" t="n">
        <f aca="false">+(B396/$B$2)*$D$2</f>
        <v>89.6708752548169</v>
      </c>
      <c r="E396" s="680" t="n">
        <f aca="false">+(C396/$C$2)*$E$2</f>
        <v>110.596635871766</v>
      </c>
    </row>
    <row r="397" customFormat="false" ht="12.75" hidden="false" customHeight="false" outlineLevel="0" collapsed="false">
      <c r="A397" s="682" t="n">
        <v>36426</v>
      </c>
      <c r="B397" s="683" t="n">
        <v>26.7982</v>
      </c>
      <c r="C397" s="683" t="n">
        <v>294.86</v>
      </c>
      <c r="D397" s="679" t="n">
        <f aca="false">+(B397/$B$2)*$D$2</f>
        <v>88.1113960676004</v>
      </c>
      <c r="E397" s="680" t="n">
        <f aca="false">+(C397/$C$2)*$E$2</f>
        <v>108.52810188082</v>
      </c>
    </row>
    <row r="398" customFormat="false" ht="12.75" hidden="false" customHeight="false" outlineLevel="0" collapsed="false">
      <c r="A398" s="682" t="n">
        <v>36427</v>
      </c>
      <c r="B398" s="683" t="n">
        <v>26.7982</v>
      </c>
      <c r="C398" s="683" t="n">
        <v>294.73</v>
      </c>
      <c r="D398" s="679" t="n">
        <f aca="false">+(B398/$B$2)*$D$2</f>
        <v>88.1113960676004</v>
      </c>
      <c r="E398" s="680" t="n">
        <f aca="false">+(C398/$C$2)*$E$2</f>
        <v>108.480253229784</v>
      </c>
    </row>
    <row r="399" customFormat="false" ht="12.75" hidden="false" customHeight="false" outlineLevel="0" collapsed="false">
      <c r="A399" s="682" t="n">
        <v>36430</v>
      </c>
      <c r="B399" s="683" t="n">
        <v>26.8575</v>
      </c>
      <c r="C399" s="683" t="n">
        <v>293.73</v>
      </c>
      <c r="D399" s="679" t="n">
        <f aca="false">+(B399/$B$2)*$D$2</f>
        <v>88.3063720654962</v>
      </c>
      <c r="E399" s="680" t="n">
        <f aca="false">+(C399/$C$2)*$E$2</f>
        <v>108.112186683352</v>
      </c>
    </row>
    <row r="400" customFormat="false" ht="12.75" hidden="false" customHeight="false" outlineLevel="0" collapsed="false">
      <c r="A400" s="682" t="n">
        <v>36431</v>
      </c>
      <c r="B400" s="683" t="n">
        <v>26.4424</v>
      </c>
      <c r="C400" s="683" t="n">
        <v>291.77</v>
      </c>
      <c r="D400" s="679" t="n">
        <f aca="false">+(B400/$B$2)*$D$2</f>
        <v>86.9415400802262</v>
      </c>
      <c r="E400" s="680" t="n">
        <f aca="false">+(C400/$C$2)*$E$2</f>
        <v>107.390776252346</v>
      </c>
    </row>
    <row r="401" customFormat="false" ht="12.75" hidden="false" customHeight="false" outlineLevel="0" collapsed="false">
      <c r="A401" s="682" t="n">
        <v>36432</v>
      </c>
      <c r="B401" s="683" t="n">
        <v>26.2646</v>
      </c>
      <c r="C401" s="683" t="n">
        <v>294.73</v>
      </c>
      <c r="D401" s="679" t="n">
        <f aca="false">+(B401/$B$2)*$D$2</f>
        <v>86.3569408824883</v>
      </c>
      <c r="E401" s="680" t="n">
        <f aca="false">+(C401/$C$2)*$E$2</f>
        <v>108.480253229784</v>
      </c>
    </row>
    <row r="402" customFormat="false" ht="12.75" hidden="false" customHeight="false" outlineLevel="0" collapsed="false">
      <c r="A402" s="682" t="n">
        <v>36433</v>
      </c>
      <c r="B402" s="683" t="n">
        <v>26.8575</v>
      </c>
      <c r="C402" s="683" t="n">
        <v>298.26</v>
      </c>
      <c r="D402" s="679" t="n">
        <f aca="false">+(B402/$B$2)*$D$2</f>
        <v>88.3063720654962</v>
      </c>
      <c r="E402" s="680" t="n">
        <f aca="false">+(C402/$C$2)*$E$2</f>
        <v>109.779528138687</v>
      </c>
    </row>
    <row r="403" customFormat="false" ht="12.75" hidden="false" customHeight="false" outlineLevel="0" collapsed="false">
      <c r="A403" s="682" t="n">
        <v>36434</v>
      </c>
      <c r="B403" s="683" t="n">
        <v>27.3318</v>
      </c>
      <c r="C403" s="683" t="n">
        <v>301.54</v>
      </c>
      <c r="D403" s="679" t="n">
        <f aca="false">+(B403/$B$2)*$D$2</f>
        <v>89.8658512527126</v>
      </c>
      <c r="E403" s="680" t="n">
        <f aca="false">+(C403/$C$2)*$E$2</f>
        <v>110.986786410983</v>
      </c>
    </row>
    <row r="404" customFormat="false" ht="12.75" hidden="false" customHeight="false" outlineLevel="0" collapsed="false">
      <c r="A404" s="682" t="n">
        <v>36437</v>
      </c>
      <c r="B404" s="683" t="n">
        <v>27.7468</v>
      </c>
      <c r="C404" s="683" t="n">
        <v>305.87</v>
      </c>
      <c r="D404" s="679" t="n">
        <f aca="false">+(B404/$B$2)*$D$2</f>
        <v>91.2303544420333</v>
      </c>
      <c r="E404" s="680" t="n">
        <f aca="false">+(C404/$C$2)*$E$2</f>
        <v>112.580514557032</v>
      </c>
    </row>
    <row r="405" customFormat="false" ht="12.75" hidden="false" customHeight="false" outlineLevel="0" collapsed="false">
      <c r="A405" s="682" t="n">
        <v>36438</v>
      </c>
      <c r="B405" s="683" t="n">
        <v>27.3318</v>
      </c>
      <c r="C405" s="683" t="n">
        <v>303.4</v>
      </c>
      <c r="D405" s="679" t="n">
        <f aca="false">+(B405/$B$2)*$D$2</f>
        <v>89.8658512527126</v>
      </c>
      <c r="E405" s="680" t="n">
        <f aca="false">+(C405/$C$2)*$E$2</f>
        <v>111.671390187346</v>
      </c>
    </row>
    <row r="406" customFormat="false" ht="12.75" hidden="false" customHeight="false" outlineLevel="0" collapsed="false">
      <c r="A406" s="682" t="n">
        <v>36439</v>
      </c>
      <c r="B406" s="683" t="n">
        <v>27.2725</v>
      </c>
      <c r="C406" s="683" t="n">
        <v>303.43</v>
      </c>
      <c r="D406" s="679" t="n">
        <f aca="false">+(B406/$B$2)*$D$2</f>
        <v>89.6708752548169</v>
      </c>
      <c r="E406" s="680" t="n">
        <f aca="false">+(C406/$C$2)*$E$2</f>
        <v>111.682432183739</v>
      </c>
    </row>
    <row r="407" customFormat="false" ht="12.75" hidden="false" customHeight="false" outlineLevel="0" collapsed="false">
      <c r="A407" s="682" t="n">
        <v>36440</v>
      </c>
      <c r="B407" s="683" t="n">
        <v>26.561</v>
      </c>
      <c r="C407" s="683" t="n">
        <v>298.36</v>
      </c>
      <c r="D407" s="679" t="n">
        <f aca="false">+(B407/$B$2)*$D$2</f>
        <v>87.3314920760176</v>
      </c>
      <c r="E407" s="680" t="n">
        <f aca="false">+(C407/$C$2)*$E$2</f>
        <v>109.816334793331</v>
      </c>
    </row>
    <row r="408" customFormat="false" ht="12.75" hidden="false" customHeight="false" outlineLevel="0" collapsed="false">
      <c r="A408" s="682" t="n">
        <v>36441</v>
      </c>
      <c r="B408" s="683" t="n">
        <v>26.6203</v>
      </c>
      <c r="C408" s="683" t="n">
        <v>299.67</v>
      </c>
      <c r="D408" s="679" t="n">
        <f aca="false">+(B408/$B$2)*$D$2</f>
        <v>87.5264680739133</v>
      </c>
      <c r="E408" s="680" t="n">
        <f aca="false">+(C408/$C$2)*$E$2</f>
        <v>110.298501969156</v>
      </c>
    </row>
    <row r="409" customFormat="false" ht="12.75" hidden="false" customHeight="false" outlineLevel="0" collapsed="false">
      <c r="A409" s="682" t="n">
        <v>36444</v>
      </c>
      <c r="B409" s="683" t="n">
        <v>26.4424</v>
      </c>
      <c r="C409" s="683" t="n">
        <v>295.72</v>
      </c>
      <c r="D409" s="679" t="n">
        <f aca="false">+(B409/$B$2)*$D$2</f>
        <v>86.9415400802262</v>
      </c>
      <c r="E409" s="680" t="n">
        <f aca="false">+(C409/$C$2)*$E$2</f>
        <v>108.844639110751</v>
      </c>
    </row>
    <row r="410" customFormat="false" ht="12.75" hidden="false" customHeight="false" outlineLevel="0" collapsed="false">
      <c r="A410" s="682" t="n">
        <v>36445</v>
      </c>
      <c r="B410" s="683" t="n">
        <v>26.4424</v>
      </c>
      <c r="C410" s="683" t="n">
        <v>295.59</v>
      </c>
      <c r="D410" s="679" t="n">
        <f aca="false">+(B410/$B$2)*$D$2</f>
        <v>86.9415400802262</v>
      </c>
      <c r="E410" s="680" t="n">
        <f aca="false">+(C410/$C$2)*$E$2</f>
        <v>108.796790459715</v>
      </c>
    </row>
    <row r="411" customFormat="false" ht="12.75" hidden="false" customHeight="false" outlineLevel="0" collapsed="false">
      <c r="A411" s="682" t="n">
        <v>36446</v>
      </c>
      <c r="B411" s="683" t="n">
        <v>26.6203</v>
      </c>
      <c r="C411" s="683" t="n">
        <v>296.49</v>
      </c>
      <c r="D411" s="679" t="n">
        <f aca="false">+(B411/$B$2)*$D$2</f>
        <v>87.5264680739133</v>
      </c>
      <c r="E411" s="680" t="n">
        <f aca="false">+(C411/$C$2)*$E$2</f>
        <v>109.128050351504</v>
      </c>
    </row>
    <row r="412" customFormat="false" ht="12.75" hidden="false" customHeight="false" outlineLevel="0" collapsed="false">
      <c r="A412" s="682" t="n">
        <v>36447</v>
      </c>
      <c r="B412" s="683" t="n">
        <v>26.9167</v>
      </c>
      <c r="C412" s="683" t="n">
        <v>299.38</v>
      </c>
      <c r="D412" s="679" t="n">
        <f aca="false">+(B412/$B$2)*$D$2</f>
        <v>88.5010192674426</v>
      </c>
      <c r="E412" s="680" t="n">
        <f aca="false">+(C412/$C$2)*$E$2</f>
        <v>110.191762670691</v>
      </c>
    </row>
    <row r="413" customFormat="false" ht="12.75" hidden="false" customHeight="false" outlineLevel="0" collapsed="false">
      <c r="A413" s="682" t="n">
        <v>36448</v>
      </c>
      <c r="B413" s="683" t="n">
        <v>26.561</v>
      </c>
      <c r="C413" s="683" t="n">
        <v>294.73</v>
      </c>
      <c r="D413" s="679" t="n">
        <f aca="false">+(B413/$B$2)*$D$2</f>
        <v>87.3314920760176</v>
      </c>
      <c r="E413" s="680" t="n">
        <f aca="false">+(C413/$C$2)*$E$2</f>
        <v>108.480253229784</v>
      </c>
    </row>
    <row r="414" customFormat="false" ht="12.75" hidden="false" customHeight="false" outlineLevel="0" collapsed="false">
      <c r="A414" s="682" t="n">
        <v>36451</v>
      </c>
      <c r="B414" s="683" t="n">
        <v>26.3831</v>
      </c>
      <c r="C414" s="683" t="n">
        <v>298.52</v>
      </c>
      <c r="D414" s="679" t="n">
        <f aca="false">+(B414/$B$2)*$D$2</f>
        <v>86.7465640823305</v>
      </c>
      <c r="E414" s="680" t="n">
        <f aca="false">+(C414/$C$2)*$E$2</f>
        <v>109.87522544076</v>
      </c>
    </row>
    <row r="415" customFormat="false" ht="12.75" hidden="false" customHeight="false" outlineLevel="0" collapsed="false">
      <c r="A415" s="682" t="n">
        <v>36452</v>
      </c>
      <c r="B415" s="683" t="n">
        <v>26.3239</v>
      </c>
      <c r="C415" s="683" t="n">
        <v>295.08</v>
      </c>
      <c r="D415" s="679" t="n">
        <f aca="false">+(B415/$B$2)*$D$2</f>
        <v>86.551916880384</v>
      </c>
      <c r="E415" s="680" t="n">
        <f aca="false">+(C415/$C$2)*$E$2</f>
        <v>108.609076521035</v>
      </c>
    </row>
    <row r="416" customFormat="false" ht="12.75" hidden="false" customHeight="false" outlineLevel="0" collapsed="false">
      <c r="A416" s="682" t="n">
        <v>36453</v>
      </c>
      <c r="B416" s="683" t="n">
        <v>26.561</v>
      </c>
      <c r="C416" s="683" t="n">
        <v>294.66</v>
      </c>
      <c r="D416" s="679" t="n">
        <f aca="false">+(B416/$B$2)*$D$2</f>
        <v>87.3314920760176</v>
      </c>
      <c r="E416" s="680" t="n">
        <f aca="false">+(C416/$C$2)*$E$2</f>
        <v>108.454488571534</v>
      </c>
    </row>
    <row r="417" customFormat="false" ht="12.75" hidden="false" customHeight="false" outlineLevel="0" collapsed="false">
      <c r="A417" s="682" t="n">
        <v>36454</v>
      </c>
      <c r="B417" s="683" t="n">
        <v>26.6796</v>
      </c>
      <c r="C417" s="683" t="n">
        <v>293.57</v>
      </c>
      <c r="D417" s="679" t="n">
        <f aca="false">+(B417/$B$2)*$D$2</f>
        <v>87.721444071809</v>
      </c>
      <c r="E417" s="680" t="n">
        <f aca="false">+(C417/$C$2)*$E$2</f>
        <v>108.053296035923</v>
      </c>
    </row>
    <row r="418" customFormat="false" ht="12.75" hidden="false" customHeight="false" outlineLevel="0" collapsed="false">
      <c r="A418" s="682" t="n">
        <v>36455</v>
      </c>
      <c r="B418" s="683" t="n">
        <v>26.6203</v>
      </c>
      <c r="C418" s="683" t="n">
        <v>294.73</v>
      </c>
      <c r="D418" s="679" t="n">
        <f aca="false">+(B418/$B$2)*$D$2</f>
        <v>87.5264680739133</v>
      </c>
      <c r="E418" s="680" t="n">
        <f aca="false">+(C418/$C$2)*$E$2</f>
        <v>108.480253229784</v>
      </c>
    </row>
    <row r="419" customFormat="false" ht="12.75" hidden="false" customHeight="false" outlineLevel="0" collapsed="false">
      <c r="A419" s="682" t="n">
        <v>36458</v>
      </c>
      <c r="B419" s="683" t="n">
        <v>26.9167</v>
      </c>
      <c r="C419" s="683" t="n">
        <v>294.47</v>
      </c>
      <c r="D419" s="679" t="n">
        <f aca="false">+(B419/$B$2)*$D$2</f>
        <v>88.5010192674426</v>
      </c>
      <c r="E419" s="680" t="n">
        <f aca="false">+(C419/$C$2)*$E$2</f>
        <v>108.384555927712</v>
      </c>
    </row>
    <row r="420" customFormat="false" ht="12.75" hidden="false" customHeight="false" outlineLevel="0" collapsed="false">
      <c r="A420" s="682" t="n">
        <v>36459</v>
      </c>
      <c r="B420" s="683" t="n">
        <v>27.0353</v>
      </c>
      <c r="C420" s="683" t="n">
        <v>295.24</v>
      </c>
      <c r="D420" s="679" t="n">
        <f aca="false">+(B420/$B$2)*$D$2</f>
        <v>88.890971263234</v>
      </c>
      <c r="E420" s="680" t="n">
        <f aca="false">+(C420/$C$2)*$E$2</f>
        <v>108.667967168464</v>
      </c>
    </row>
    <row r="421" customFormat="false" ht="12.75" hidden="false" customHeight="false" outlineLevel="0" collapsed="false">
      <c r="A421" s="682" t="n">
        <v>36460</v>
      </c>
      <c r="B421" s="683" t="n">
        <v>27.9839</v>
      </c>
      <c r="C421" s="683" t="n">
        <v>302.37</v>
      </c>
      <c r="D421" s="679" t="n">
        <f aca="false">+(B421/$B$2)*$D$2</f>
        <v>92.0099296376669</v>
      </c>
      <c r="E421" s="680" t="n">
        <f aca="false">+(C421/$C$2)*$E$2</f>
        <v>111.292281644521</v>
      </c>
    </row>
    <row r="422" customFormat="false" ht="12.75" hidden="false" customHeight="false" outlineLevel="0" collapsed="false">
      <c r="A422" s="682" t="n">
        <v>36461</v>
      </c>
      <c r="B422" s="683" t="n">
        <v>27.8756</v>
      </c>
      <c r="C422" s="683" t="n">
        <v>306.26</v>
      </c>
      <c r="D422" s="679" t="n">
        <f aca="false">+(B422/$B$2)*$D$2</f>
        <v>91.6538436246465</v>
      </c>
      <c r="E422" s="680" t="n">
        <f aca="false">+(C422/$C$2)*$E$2</f>
        <v>112.72406051014</v>
      </c>
    </row>
    <row r="423" customFormat="false" ht="12.75" hidden="false" customHeight="false" outlineLevel="0" collapsed="false">
      <c r="A423" s="682" t="n">
        <v>36462</v>
      </c>
      <c r="B423" s="683" t="n">
        <v>27.2133</v>
      </c>
      <c r="C423" s="683" t="n">
        <v>306.61</v>
      </c>
      <c r="D423" s="679" t="n">
        <f aca="false">+(B423/$B$2)*$D$2</f>
        <v>89.4762280528704</v>
      </c>
      <c r="E423" s="680" t="n">
        <f aca="false">+(C423/$C$2)*$E$2</f>
        <v>112.852883801391</v>
      </c>
    </row>
    <row r="424" customFormat="false" ht="12.75" hidden="false" customHeight="false" outlineLevel="0" collapsed="false">
      <c r="A424" s="682" t="n">
        <v>36465</v>
      </c>
      <c r="B424" s="683" t="n">
        <v>27.1531</v>
      </c>
      <c r="C424" s="683" t="n">
        <v>305.2</v>
      </c>
      <c r="D424" s="679" t="n">
        <f aca="false">+(B424/$B$2)*$D$2</f>
        <v>89.2782928914316</v>
      </c>
      <c r="E424" s="680" t="n">
        <f aca="false">+(C424/$C$2)*$E$2</f>
        <v>112.333909970923</v>
      </c>
    </row>
    <row r="425" customFormat="false" ht="12.75" hidden="false" customHeight="false" outlineLevel="0" collapsed="false">
      <c r="A425" s="682" t="n">
        <v>36466</v>
      </c>
      <c r="B425" s="683" t="n">
        <v>27.0929</v>
      </c>
      <c r="C425" s="683" t="n">
        <v>306.67</v>
      </c>
      <c r="D425" s="679" t="n">
        <f aca="false">+(B425/$B$2)*$D$2</f>
        <v>89.0803577299928</v>
      </c>
      <c r="E425" s="680" t="n">
        <f aca="false">+(C425/$C$2)*$E$2</f>
        <v>112.874967794177</v>
      </c>
    </row>
    <row r="426" customFormat="false" ht="12.75" hidden="false" customHeight="false" outlineLevel="0" collapsed="false">
      <c r="A426" s="682" t="n">
        <v>36467</v>
      </c>
      <c r="B426" s="683" t="n">
        <v>26.852</v>
      </c>
      <c r="C426" s="683" t="n">
        <v>306.64</v>
      </c>
      <c r="D426" s="679" t="n">
        <f aca="false">+(B426/$B$2)*$D$2</f>
        <v>88.2882882882883</v>
      </c>
      <c r="E426" s="680" t="n">
        <f aca="false">+(C426/$C$2)*$E$2</f>
        <v>112.863925797784</v>
      </c>
    </row>
    <row r="427" customFormat="false" ht="12.75" hidden="false" customHeight="false" outlineLevel="0" collapsed="false">
      <c r="A427" s="682" t="n">
        <v>36468</v>
      </c>
      <c r="B427" s="683" t="n">
        <v>26.0092</v>
      </c>
      <c r="C427" s="683" t="n">
        <v>304.01</v>
      </c>
      <c r="D427" s="679" t="n">
        <f aca="false">+(B427/$B$2)*$D$2</f>
        <v>85.5171960281449</v>
      </c>
      <c r="E427" s="680" t="n">
        <f aca="false">+(C427/$C$2)*$E$2</f>
        <v>111.895910780669</v>
      </c>
    </row>
    <row r="428" customFormat="false" ht="12.75" hidden="false" customHeight="false" outlineLevel="0" collapsed="false">
      <c r="A428" s="682" t="n">
        <v>36469</v>
      </c>
      <c r="B428" s="683" t="n">
        <v>26.1296</v>
      </c>
      <c r="C428" s="683" t="n">
        <v>303.27</v>
      </c>
      <c r="D428" s="679" t="n">
        <f aca="false">+(B428/$B$2)*$D$2</f>
        <v>85.9130663510226</v>
      </c>
      <c r="E428" s="680" t="n">
        <f aca="false">+(C428/$C$2)*$E$2</f>
        <v>111.62354153631</v>
      </c>
    </row>
    <row r="429" customFormat="false" ht="12.75" hidden="false" customHeight="false" outlineLevel="0" collapsed="false">
      <c r="A429" s="682" t="n">
        <v>36472</v>
      </c>
      <c r="B429" s="683" t="n">
        <v>26.3704</v>
      </c>
      <c r="C429" s="683" t="n">
        <v>302.18</v>
      </c>
      <c r="D429" s="679" t="n">
        <f aca="false">+(B429/$B$2)*$D$2</f>
        <v>86.7048069967778</v>
      </c>
      <c r="E429" s="680" t="n">
        <f aca="false">+(C429/$C$2)*$E$2</f>
        <v>111.222349000699</v>
      </c>
    </row>
    <row r="430" customFormat="false" ht="12.75" hidden="false" customHeight="false" outlineLevel="0" collapsed="false">
      <c r="A430" s="682" t="n">
        <v>36473</v>
      </c>
      <c r="B430" s="683" t="n">
        <v>26.852</v>
      </c>
      <c r="C430" s="683" t="n">
        <v>299.48</v>
      </c>
      <c r="D430" s="679" t="n">
        <f aca="false">+(B430/$B$2)*$D$2</f>
        <v>88.2882882882883</v>
      </c>
      <c r="E430" s="680" t="n">
        <f aca="false">+(C430/$C$2)*$E$2</f>
        <v>110.228569325334</v>
      </c>
    </row>
    <row r="431" customFormat="false" ht="12.75" hidden="false" customHeight="false" outlineLevel="0" collapsed="false">
      <c r="A431" s="682" t="n">
        <v>36474</v>
      </c>
      <c r="B431" s="683" t="n">
        <v>26.6714</v>
      </c>
      <c r="C431" s="683" t="n">
        <v>297.33</v>
      </c>
      <c r="D431" s="679" t="n">
        <f aca="false">+(B431/$B$2)*$D$2</f>
        <v>87.6944828039718</v>
      </c>
      <c r="E431" s="680" t="n">
        <f aca="false">+(C431/$C$2)*$E$2</f>
        <v>109.437226250506</v>
      </c>
    </row>
    <row r="432" customFormat="false" ht="12.75" hidden="false" customHeight="false" outlineLevel="0" collapsed="false">
      <c r="A432" s="682" t="n">
        <v>36475</v>
      </c>
      <c r="B432" s="683" t="n">
        <v>26.3102</v>
      </c>
      <c r="C432" s="683" t="n">
        <v>299.35</v>
      </c>
      <c r="D432" s="679" t="n">
        <f aca="false">+(B432/$B$2)*$D$2</f>
        <v>86.506871835339</v>
      </c>
      <c r="E432" s="680" t="n">
        <f aca="false">+(C432/$C$2)*$E$2</f>
        <v>110.180720674298</v>
      </c>
    </row>
    <row r="433" customFormat="false" ht="12.75" hidden="false" customHeight="false" outlineLevel="0" collapsed="false">
      <c r="A433" s="682" t="n">
        <v>36476</v>
      </c>
      <c r="B433" s="683" t="n">
        <v>26.3704</v>
      </c>
      <c r="C433" s="683" t="n">
        <v>300.31</v>
      </c>
      <c r="D433" s="679" t="n">
        <f aca="false">+(B433/$B$2)*$D$2</f>
        <v>86.7048069967778</v>
      </c>
      <c r="E433" s="680" t="n">
        <f aca="false">+(C433/$C$2)*$E$2</f>
        <v>110.534064558872</v>
      </c>
    </row>
    <row r="434" customFormat="false" ht="12.75" hidden="false" customHeight="false" outlineLevel="0" collapsed="false">
      <c r="A434" s="682" t="n">
        <v>36479</v>
      </c>
      <c r="B434" s="683" t="n">
        <v>25.8887</v>
      </c>
      <c r="C434" s="683" t="n">
        <v>298.13</v>
      </c>
      <c r="D434" s="679" t="n">
        <f aca="false">+(B434/$B$2)*$D$2</f>
        <v>85.1209969093181</v>
      </c>
      <c r="E434" s="680" t="n">
        <f aca="false">+(C434/$C$2)*$E$2</f>
        <v>109.731679487651</v>
      </c>
    </row>
    <row r="435" customFormat="false" ht="12.75" hidden="false" customHeight="false" outlineLevel="0" collapsed="false">
      <c r="A435" s="682" t="n">
        <v>36480</v>
      </c>
      <c r="B435" s="683" t="n">
        <v>25.8887</v>
      </c>
      <c r="C435" s="683" t="n">
        <v>297.97</v>
      </c>
      <c r="D435" s="679" t="n">
        <f aca="false">+(B435/$B$2)*$D$2</f>
        <v>85.1209969093181</v>
      </c>
      <c r="E435" s="680" t="n">
        <f aca="false">+(C435/$C$2)*$E$2</f>
        <v>109.672788840222</v>
      </c>
    </row>
    <row r="436" customFormat="false" ht="12.75" hidden="false" customHeight="false" outlineLevel="0" collapsed="false">
      <c r="A436" s="682" t="n">
        <v>36481</v>
      </c>
      <c r="B436" s="683" t="n">
        <v>25.7683</v>
      </c>
      <c r="C436" s="683" t="n">
        <v>296.24</v>
      </c>
      <c r="D436" s="679" t="n">
        <f aca="false">+(B436/$B$2)*$D$2</f>
        <v>84.7251265864405</v>
      </c>
      <c r="E436" s="680" t="n">
        <f aca="false">+(C436/$C$2)*$E$2</f>
        <v>109.036033714896</v>
      </c>
    </row>
    <row r="437" customFormat="false" ht="12.75" hidden="false" customHeight="false" outlineLevel="0" collapsed="false">
      <c r="A437" s="682" t="n">
        <v>36482</v>
      </c>
      <c r="B437" s="683" t="n">
        <v>25.4673</v>
      </c>
      <c r="C437" s="683" t="n">
        <v>294.05</v>
      </c>
      <c r="D437" s="679" t="n">
        <f aca="false">+(B437/$B$2)*$D$2</f>
        <v>83.7354507792464</v>
      </c>
      <c r="E437" s="680" t="n">
        <f aca="false">+(C437/$C$2)*$E$2</f>
        <v>108.22996797821</v>
      </c>
    </row>
    <row r="438" customFormat="false" ht="12.75" hidden="false" customHeight="false" outlineLevel="0" collapsed="false">
      <c r="A438" s="682" t="n">
        <v>36483</v>
      </c>
      <c r="B438" s="683" t="n">
        <v>25.4071</v>
      </c>
      <c r="C438" s="683" t="n">
        <v>291.71</v>
      </c>
      <c r="D438" s="679" t="n">
        <f aca="false">+(B438/$B$2)*$D$2</f>
        <v>83.5375156178076</v>
      </c>
      <c r="E438" s="680" t="n">
        <f aca="false">+(C438/$C$2)*$E$2</f>
        <v>107.368692259561</v>
      </c>
    </row>
    <row r="439" customFormat="false" ht="12.75" hidden="false" customHeight="false" outlineLevel="0" collapsed="false">
      <c r="A439" s="682" t="n">
        <v>36486</v>
      </c>
      <c r="B439" s="683" t="n">
        <v>25.0459</v>
      </c>
      <c r="C439" s="683" t="n">
        <v>286.09</v>
      </c>
      <c r="D439" s="679" t="n">
        <f aca="false">+(B439/$B$2)*$D$2</f>
        <v>82.3499046491747</v>
      </c>
      <c r="E439" s="680" t="n">
        <f aca="false">+(C439/$C$2)*$E$2</f>
        <v>105.300158268615</v>
      </c>
    </row>
    <row r="440" customFormat="false" ht="12.75" hidden="false" customHeight="false" outlineLevel="0" collapsed="false">
      <c r="A440" s="682" t="n">
        <v>36487</v>
      </c>
      <c r="B440" s="683" t="n">
        <v>24.504</v>
      </c>
      <c r="C440" s="683" t="n">
        <v>281.56</v>
      </c>
      <c r="D440" s="679" t="n">
        <f aca="false">+(B440/$B$2)*$D$2</f>
        <v>80.5681594002762</v>
      </c>
      <c r="E440" s="680" t="n">
        <f aca="false">+(C440/$C$2)*$E$2</f>
        <v>103.63281681328</v>
      </c>
    </row>
    <row r="441" customFormat="false" ht="12.75" hidden="false" customHeight="false" outlineLevel="0" collapsed="false">
      <c r="A441" s="682" t="n">
        <v>36488</v>
      </c>
      <c r="B441" s="683" t="n">
        <v>24.504</v>
      </c>
      <c r="C441" s="683" t="n">
        <v>283.2</v>
      </c>
      <c r="D441" s="679" t="n">
        <f aca="false">+(B441/$B$2)*$D$2</f>
        <v>80.5681594002762</v>
      </c>
      <c r="E441" s="680" t="n">
        <f aca="false">+(C441/$C$2)*$E$2</f>
        <v>104.236445949428</v>
      </c>
    </row>
    <row r="442" customFormat="false" ht="12.75" hidden="false" customHeight="false" outlineLevel="0" collapsed="false">
      <c r="A442" s="682" t="n">
        <v>36490</v>
      </c>
      <c r="B442" s="683" t="n">
        <v>24.3836</v>
      </c>
      <c r="C442" s="683" t="n">
        <v>281.37</v>
      </c>
      <c r="D442" s="679" t="n">
        <f aca="false">+(B442/$B$2)*$D$2</f>
        <v>80.1722890773986</v>
      </c>
      <c r="E442" s="680" t="n">
        <f aca="false">+(C442/$C$2)*$E$2</f>
        <v>103.562884169458</v>
      </c>
    </row>
    <row r="443" customFormat="false" ht="12.75" hidden="false" customHeight="false" outlineLevel="0" collapsed="false">
      <c r="A443" s="682" t="n">
        <v>36493</v>
      </c>
      <c r="B443" s="683" t="n">
        <v>23.9019</v>
      </c>
      <c r="C443" s="683" t="n">
        <v>276.94</v>
      </c>
      <c r="D443" s="679" t="n">
        <f aca="false">+(B443/$B$2)*$D$2</f>
        <v>78.5884789899389</v>
      </c>
      <c r="E443" s="680" t="n">
        <f aca="false">+(C443/$C$2)*$E$2</f>
        <v>101.932349368766</v>
      </c>
    </row>
    <row r="444" customFormat="false" ht="12.75" hidden="false" customHeight="false" outlineLevel="0" collapsed="false">
      <c r="A444" s="682" t="n">
        <v>36494</v>
      </c>
      <c r="B444" s="683" t="n">
        <v>24.3836</v>
      </c>
      <c r="C444" s="683" t="n">
        <v>281.53</v>
      </c>
      <c r="D444" s="679" t="n">
        <f aca="false">+(B444/$B$2)*$D$2</f>
        <v>80.1722890773986</v>
      </c>
      <c r="E444" s="680" t="n">
        <f aca="false">+(C444/$C$2)*$E$2</f>
        <v>103.621774816887</v>
      </c>
    </row>
    <row r="445" customFormat="false" ht="12.75" hidden="false" customHeight="false" outlineLevel="0" collapsed="false">
      <c r="A445" s="682" t="n">
        <v>36495</v>
      </c>
      <c r="B445" s="683" t="n">
        <v>24.4438</v>
      </c>
      <c r="C445" s="683" t="n">
        <v>279.96</v>
      </c>
      <c r="D445" s="679" t="n">
        <f aca="false">+(B445/$B$2)*$D$2</f>
        <v>80.3702242388374</v>
      </c>
      <c r="E445" s="680" t="n">
        <f aca="false">+(C445/$C$2)*$E$2</f>
        <v>103.043910338989</v>
      </c>
    </row>
    <row r="446" customFormat="false" ht="12.75" hidden="false" customHeight="false" outlineLevel="0" collapsed="false">
      <c r="A446" s="682" t="n">
        <v>36496</v>
      </c>
      <c r="B446" s="683" t="n">
        <v>24.203</v>
      </c>
      <c r="C446" s="683" t="n">
        <v>281.43</v>
      </c>
      <c r="D446" s="679" t="n">
        <f aca="false">+(B446/$B$2)*$D$2</f>
        <v>79.5784835930821</v>
      </c>
      <c r="E446" s="680" t="n">
        <f aca="false">+(C446/$C$2)*$E$2</f>
        <v>103.584968162244</v>
      </c>
    </row>
    <row r="447" customFormat="false" ht="12.75" hidden="false" customHeight="false" outlineLevel="0" collapsed="false">
      <c r="A447" s="682" t="n">
        <v>36497</v>
      </c>
      <c r="B447" s="683" t="n">
        <v>24.203</v>
      </c>
      <c r="C447" s="683" t="n">
        <v>283.17</v>
      </c>
      <c r="D447" s="679" t="n">
        <f aca="false">+(B447/$B$2)*$D$2</f>
        <v>79.5784835930821</v>
      </c>
      <c r="E447" s="680" t="n">
        <f aca="false">+(C447/$C$2)*$E$2</f>
        <v>104.225403953035</v>
      </c>
    </row>
    <row r="448" customFormat="false" ht="12.75" hidden="false" customHeight="false" outlineLevel="0" collapsed="false">
      <c r="A448" s="682" t="n">
        <v>36500</v>
      </c>
      <c r="B448" s="683" t="n">
        <v>23.9621</v>
      </c>
      <c r="C448" s="683" t="n">
        <v>281.31</v>
      </c>
      <c r="D448" s="679" t="n">
        <f aca="false">+(B448/$B$2)*$D$2</f>
        <v>78.7864141513776</v>
      </c>
      <c r="E448" s="680" t="n">
        <f aca="false">+(C448/$C$2)*$E$2</f>
        <v>103.540800176672</v>
      </c>
    </row>
    <row r="449" customFormat="false" ht="12.75" hidden="false" customHeight="false" outlineLevel="0" collapsed="false">
      <c r="A449" s="682" t="n">
        <v>36501</v>
      </c>
      <c r="B449" s="683" t="n">
        <v>23.7815</v>
      </c>
      <c r="C449" s="683" t="n">
        <v>275.91</v>
      </c>
      <c r="D449" s="679" t="n">
        <f aca="false">+(B449/$B$2)*$D$2</f>
        <v>78.1926086670612</v>
      </c>
      <c r="E449" s="680" t="n">
        <f aca="false">+(C449/$C$2)*$E$2</f>
        <v>101.553240825941</v>
      </c>
    </row>
    <row r="450" customFormat="false" ht="12.75" hidden="false" customHeight="false" outlineLevel="0" collapsed="false">
      <c r="A450" s="682" t="n">
        <v>36502</v>
      </c>
      <c r="B450" s="683" t="n">
        <v>23.4805</v>
      </c>
      <c r="C450" s="683" t="n">
        <v>273.7</v>
      </c>
      <c r="D450" s="679" t="n">
        <f aca="false">+(B450/$B$2)*$D$2</f>
        <v>77.2029328598672</v>
      </c>
      <c r="E450" s="680" t="n">
        <f aca="false">+(C450/$C$2)*$E$2</f>
        <v>100.739813758328</v>
      </c>
    </row>
    <row r="451" customFormat="false" ht="12.75" hidden="false" customHeight="false" outlineLevel="0" collapsed="false">
      <c r="A451" s="682" t="n">
        <v>36503</v>
      </c>
      <c r="B451" s="683" t="n">
        <v>23.1192</v>
      </c>
      <c r="C451" s="683" t="n">
        <v>274.44</v>
      </c>
      <c r="D451" s="679" t="n">
        <f aca="false">+(B451/$B$2)*$D$2</f>
        <v>76.0149930952851</v>
      </c>
      <c r="E451" s="680" t="n">
        <f aca="false">+(C451/$C$2)*$E$2</f>
        <v>101.012183002687</v>
      </c>
    </row>
    <row r="452" customFormat="false" ht="12.75" hidden="false" customHeight="false" outlineLevel="0" collapsed="false">
      <c r="A452" s="682" t="n">
        <v>36504</v>
      </c>
      <c r="B452" s="683" t="n">
        <v>22.8784</v>
      </c>
      <c r="C452" s="683" t="n">
        <v>273.18</v>
      </c>
      <c r="D452" s="679" t="n">
        <f aca="false">+(B452/$B$2)*$D$2</f>
        <v>75.2232524495298</v>
      </c>
      <c r="E452" s="680" t="n">
        <f aca="false">+(C452/$C$2)*$E$2</f>
        <v>100.548419154183</v>
      </c>
    </row>
    <row r="453" customFormat="false" ht="12.75" hidden="false" customHeight="false" outlineLevel="0" collapsed="false">
      <c r="A453" s="682" t="n">
        <v>36507</v>
      </c>
      <c r="B453" s="683" t="n">
        <v>22.8784</v>
      </c>
      <c r="C453" s="683" t="n">
        <v>269.59</v>
      </c>
      <c r="D453" s="679" t="n">
        <f aca="false">+(B453/$B$2)*$D$2</f>
        <v>75.2232524495298</v>
      </c>
      <c r="E453" s="680" t="n">
        <f aca="false">+(C453/$C$2)*$E$2</f>
        <v>99.2270602524936</v>
      </c>
    </row>
    <row r="454" customFormat="false" ht="12.75" hidden="false" customHeight="false" outlineLevel="0" collapsed="false">
      <c r="A454" s="682" t="n">
        <v>36508</v>
      </c>
      <c r="B454" s="683" t="n">
        <v>23.1795</v>
      </c>
      <c r="C454" s="683" t="n">
        <v>269.2</v>
      </c>
      <c r="D454" s="679" t="n">
        <f aca="false">+(B454/$B$2)*$D$2</f>
        <v>76.2132570526731</v>
      </c>
      <c r="E454" s="680" t="n">
        <f aca="false">+(C454/$C$2)*$E$2</f>
        <v>99.0835142993853</v>
      </c>
    </row>
    <row r="455" customFormat="false" ht="12.75" hidden="false" customHeight="false" outlineLevel="0" collapsed="false">
      <c r="A455" s="682" t="n">
        <v>36509</v>
      </c>
      <c r="B455" s="683" t="n">
        <v>23.2397</v>
      </c>
      <c r="C455" s="683" t="n">
        <v>272.19</v>
      </c>
      <c r="D455" s="679" t="n">
        <f aca="false">+(B455/$B$2)*$D$2</f>
        <v>76.4111922141119</v>
      </c>
      <c r="E455" s="680" t="n">
        <f aca="false">+(C455/$C$2)*$E$2</f>
        <v>100.184033273216</v>
      </c>
    </row>
    <row r="456" customFormat="false" ht="12.75" hidden="false" customHeight="false" outlineLevel="0" collapsed="false">
      <c r="A456" s="682" t="n">
        <v>36510</v>
      </c>
      <c r="B456" s="683" t="n">
        <v>23.2397</v>
      </c>
      <c r="C456" s="683" t="n">
        <v>270.52</v>
      </c>
      <c r="D456" s="679" t="n">
        <f aca="false">+(B456/$B$2)*$D$2</f>
        <v>76.4111922141119</v>
      </c>
      <c r="E456" s="680" t="n">
        <f aca="false">+(C456/$C$2)*$E$2</f>
        <v>99.569362140675</v>
      </c>
    </row>
    <row r="457" customFormat="false" ht="12.75" hidden="false" customHeight="false" outlineLevel="0" collapsed="false">
      <c r="A457" s="682" t="n">
        <v>36511</v>
      </c>
      <c r="B457" s="683" t="n">
        <v>23.2397</v>
      </c>
      <c r="C457" s="683" t="n">
        <v>274.27</v>
      </c>
      <c r="D457" s="679" t="n">
        <f aca="false">+(B457/$B$2)*$D$2</f>
        <v>76.4111922141119</v>
      </c>
      <c r="E457" s="680" t="n">
        <f aca="false">+(C457/$C$2)*$E$2</f>
        <v>100.949611689794</v>
      </c>
    </row>
    <row r="458" customFormat="false" ht="12.75" hidden="false" customHeight="false" outlineLevel="0" collapsed="false">
      <c r="A458" s="682" t="n">
        <v>36514</v>
      </c>
      <c r="B458" s="683" t="n">
        <v>23.2397</v>
      </c>
      <c r="C458" s="683" t="n">
        <v>273.83</v>
      </c>
      <c r="D458" s="679" t="n">
        <f aca="false">+(B458/$B$2)*$D$2</f>
        <v>76.4111922141119</v>
      </c>
      <c r="E458" s="680" t="n">
        <f aca="false">+(C458/$C$2)*$E$2</f>
        <v>100.787662409364</v>
      </c>
    </row>
    <row r="459" customFormat="false" ht="12.75" hidden="false" customHeight="false" outlineLevel="0" collapsed="false">
      <c r="A459" s="682" t="n">
        <v>36515</v>
      </c>
      <c r="B459" s="683" t="n">
        <v>23.2999</v>
      </c>
      <c r="C459" s="683" t="n">
        <v>277.1</v>
      </c>
      <c r="D459" s="679" t="n">
        <f aca="false">+(B459/$B$2)*$D$2</f>
        <v>76.6091273755507</v>
      </c>
      <c r="E459" s="680" t="n">
        <f aca="false">+(C459/$C$2)*$E$2</f>
        <v>101.991240016195</v>
      </c>
    </row>
    <row r="460" customFormat="false" ht="12.75" hidden="false" customHeight="false" outlineLevel="0" collapsed="false">
      <c r="A460" s="682" t="n">
        <v>36516</v>
      </c>
      <c r="B460" s="683" t="n">
        <v>23.2397</v>
      </c>
      <c r="C460" s="683" t="n">
        <v>277.42</v>
      </c>
      <c r="D460" s="679" t="n">
        <f aca="false">+(B460/$B$2)*$D$2</f>
        <v>76.4111922141119</v>
      </c>
      <c r="E460" s="680" t="n">
        <f aca="false">+(C460/$C$2)*$E$2</f>
        <v>102.109021311053</v>
      </c>
    </row>
    <row r="461" customFormat="false" ht="12.75" hidden="false" customHeight="false" outlineLevel="0" collapsed="false">
      <c r="A461" s="682" t="n">
        <v>36517</v>
      </c>
      <c r="B461" s="683" t="n">
        <v>23.2999</v>
      </c>
      <c r="C461" s="683" t="n">
        <v>281.21</v>
      </c>
      <c r="D461" s="679" t="n">
        <f aca="false">+(B461/$B$2)*$D$2</f>
        <v>76.6091273755507</v>
      </c>
      <c r="E461" s="680" t="n">
        <f aca="false">+(C461/$C$2)*$E$2</f>
        <v>103.503993522029</v>
      </c>
    </row>
    <row r="462" customFormat="false" ht="12.75" hidden="false" customHeight="false" outlineLevel="0" collapsed="false">
      <c r="A462" s="682" t="n">
        <v>36521</v>
      </c>
      <c r="B462" s="683" t="n">
        <v>23.2397</v>
      </c>
      <c r="C462" s="683" t="n">
        <v>282.56</v>
      </c>
      <c r="D462" s="679" t="n">
        <f aca="false">+(B462/$B$2)*$D$2</f>
        <v>76.4111922141119</v>
      </c>
      <c r="E462" s="680" t="n">
        <f aca="false">+(C462/$C$2)*$E$2</f>
        <v>104.000883359711</v>
      </c>
    </row>
    <row r="463" customFormat="false" ht="12.75" hidden="false" customHeight="false" outlineLevel="0" collapsed="false">
      <c r="A463" s="682" t="n">
        <v>36522</v>
      </c>
      <c r="B463" s="683" t="n">
        <v>23.2397</v>
      </c>
      <c r="C463" s="683" t="n">
        <v>283.01</v>
      </c>
      <c r="D463" s="679" t="n">
        <f aca="false">+(B463/$B$2)*$D$2</f>
        <v>76.4111922141119</v>
      </c>
      <c r="E463" s="680" t="n">
        <f aca="false">+(C463/$C$2)*$E$2</f>
        <v>104.166513305606</v>
      </c>
    </row>
    <row r="464" customFormat="false" ht="12.75" hidden="false" customHeight="false" outlineLevel="0" collapsed="false">
      <c r="A464" s="682" t="n">
        <v>36523</v>
      </c>
      <c r="B464" s="683" t="n">
        <v>23.2999</v>
      </c>
      <c r="C464" s="683" t="n">
        <v>281.6</v>
      </c>
      <c r="D464" s="679" t="n">
        <f aca="false">+(B464/$B$2)*$D$2</f>
        <v>76.6091273755507</v>
      </c>
      <c r="E464" s="680" t="n">
        <f aca="false">+(C464/$C$2)*$E$2</f>
        <v>103.647539475137</v>
      </c>
    </row>
    <row r="465" customFormat="false" ht="12.75" hidden="false" customHeight="false" outlineLevel="0" collapsed="false">
      <c r="A465" s="682" t="n">
        <v>36524</v>
      </c>
      <c r="B465" s="683" t="n">
        <v>23.1192</v>
      </c>
      <c r="C465" s="683" t="n">
        <v>283.62</v>
      </c>
      <c r="D465" s="679" t="n">
        <f aca="false">+(B465/$B$2)*$D$2</f>
        <v>76.0149930952851</v>
      </c>
      <c r="E465" s="680" t="n">
        <f aca="false">+(C465/$C$2)*$E$2</f>
        <v>104.391033898929</v>
      </c>
    </row>
    <row r="466" customFormat="false" ht="12.75" hidden="false" customHeight="false" outlineLevel="0" collapsed="false">
      <c r="A466" s="682" t="n">
        <v>36525</v>
      </c>
      <c r="B466" s="683" t="n">
        <v>23.059</v>
      </c>
      <c r="C466" s="683" t="n">
        <v>283.36</v>
      </c>
      <c r="D466" s="679" t="n">
        <f aca="false">+(B466/$B$2)*$D$2</f>
        <v>75.8170579338463</v>
      </c>
      <c r="E466" s="680" t="n">
        <f aca="false">+(C466/$C$2)*$E$2</f>
        <v>104.295336596857</v>
      </c>
    </row>
    <row r="467" customFormat="false" ht="12.75" hidden="false" customHeight="false" outlineLevel="0" collapsed="false">
      <c r="A467" s="682" t="n">
        <v>36528</v>
      </c>
      <c r="B467" s="683" t="n">
        <v>22.6376</v>
      </c>
      <c r="C467" s="683" t="n">
        <v>276.71</v>
      </c>
      <c r="D467" s="679" t="n">
        <f aca="false">+(B467/$B$2)*$D$2</f>
        <v>74.4315118037746</v>
      </c>
      <c r="E467" s="680" t="n">
        <f aca="false">+(C467/$C$2)*$E$2</f>
        <v>101.847694063087</v>
      </c>
    </row>
    <row r="468" customFormat="false" ht="12.75" hidden="false" customHeight="false" outlineLevel="0" collapsed="false">
      <c r="A468" s="682" t="n">
        <v>36529</v>
      </c>
      <c r="B468" s="683" t="n">
        <v>22.758</v>
      </c>
      <c r="C468" s="683" t="n">
        <v>278.51</v>
      </c>
      <c r="D468" s="679" t="n">
        <f aca="false">+(B468/$B$2)*$D$2</f>
        <v>74.8273821266522</v>
      </c>
      <c r="E468" s="680" t="n">
        <f aca="false">+(C468/$C$2)*$E$2</f>
        <v>102.510213846663</v>
      </c>
    </row>
    <row r="469" customFormat="false" ht="12.75" hidden="false" customHeight="false" outlineLevel="0" collapsed="false">
      <c r="A469" s="682" t="n">
        <v>36530</v>
      </c>
      <c r="B469" s="683" t="n">
        <v>23.6611</v>
      </c>
      <c r="C469" s="683" t="n">
        <v>289.11</v>
      </c>
      <c r="D469" s="679" t="n">
        <f aca="false">+(B469/$B$2)*$D$2</f>
        <v>77.7967383441836</v>
      </c>
      <c r="E469" s="680" t="n">
        <f aca="false">+(C469/$C$2)*$E$2</f>
        <v>106.411719238838</v>
      </c>
    </row>
    <row r="470" customFormat="false" ht="12.75" hidden="false" customHeight="false" outlineLevel="0" collapsed="false">
      <c r="A470" s="682" t="n">
        <v>36531</v>
      </c>
      <c r="B470" s="683" t="n">
        <v>23.6611</v>
      </c>
      <c r="C470" s="683" t="n">
        <v>292.64</v>
      </c>
      <c r="D470" s="679" t="n">
        <f aca="false">+(B470/$B$2)*$D$2</f>
        <v>77.7967383441836</v>
      </c>
      <c r="E470" s="680" t="n">
        <f aca="false">+(C470/$C$2)*$E$2</f>
        <v>107.710994147742</v>
      </c>
    </row>
    <row r="471" customFormat="false" ht="12.75" hidden="false" customHeight="false" outlineLevel="0" collapsed="false">
      <c r="A471" s="682" t="n">
        <v>36532</v>
      </c>
      <c r="B471" s="683" t="n">
        <v>23.8417</v>
      </c>
      <c r="C471" s="683" t="n">
        <v>297.78</v>
      </c>
      <c r="D471" s="679" t="n">
        <f aca="false">+(B471/$B$2)*$D$2</f>
        <v>78.3905438285</v>
      </c>
      <c r="E471" s="680" t="n">
        <f aca="false">+(C471/$C$2)*$E$2</f>
        <v>109.6028561964</v>
      </c>
    </row>
    <row r="472" customFormat="false" ht="12.75" hidden="false" customHeight="false" outlineLevel="0" collapsed="false">
      <c r="A472" s="682" t="n">
        <v>36535</v>
      </c>
      <c r="B472" s="683" t="n">
        <v>23.8417</v>
      </c>
      <c r="C472" s="683" t="n">
        <v>296.37</v>
      </c>
      <c r="D472" s="679" t="n">
        <f aca="false">+(B472/$B$2)*$D$2</f>
        <v>78.3905438285</v>
      </c>
      <c r="E472" s="680" t="n">
        <f aca="false">+(C472/$C$2)*$E$2</f>
        <v>109.083882365932</v>
      </c>
    </row>
    <row r="473" customFormat="false" ht="12.75" hidden="false" customHeight="false" outlineLevel="0" collapsed="false">
      <c r="A473" s="682" t="n">
        <v>36536</v>
      </c>
      <c r="B473" s="683" t="n">
        <v>23.7213</v>
      </c>
      <c r="C473" s="683" t="n">
        <v>294.37</v>
      </c>
      <c r="D473" s="679" t="n">
        <f aca="false">+(B473/$B$2)*$D$2</f>
        <v>77.9946735056224</v>
      </c>
      <c r="E473" s="680" t="n">
        <f aca="false">+(C473/$C$2)*$E$2</f>
        <v>108.347749273069</v>
      </c>
    </row>
    <row r="474" customFormat="false" ht="12.75" hidden="false" customHeight="false" outlineLevel="0" collapsed="false">
      <c r="A474" s="682" t="n">
        <v>36537</v>
      </c>
      <c r="B474" s="683" t="n">
        <v>23.7213</v>
      </c>
      <c r="C474" s="683" t="n">
        <v>298.23</v>
      </c>
      <c r="D474" s="679" t="n">
        <f aca="false">+(B474/$B$2)*$D$2</f>
        <v>77.9946735056224</v>
      </c>
      <c r="E474" s="680" t="n">
        <f aca="false">+(C474/$C$2)*$E$2</f>
        <v>109.768486142295</v>
      </c>
    </row>
    <row r="475" customFormat="false" ht="12.75" hidden="false" customHeight="false" outlineLevel="0" collapsed="false">
      <c r="A475" s="682" t="n">
        <v>36538</v>
      </c>
      <c r="B475" s="683" t="n">
        <v>23.5407</v>
      </c>
      <c r="C475" s="683" t="n">
        <v>299.8</v>
      </c>
      <c r="D475" s="679" t="n">
        <f aca="false">+(B475/$B$2)*$D$2</f>
        <v>77.400868021306</v>
      </c>
      <c r="E475" s="680" t="n">
        <f aca="false">+(C475/$C$2)*$E$2</f>
        <v>110.346350620192</v>
      </c>
    </row>
    <row r="476" customFormat="false" ht="12.75" hidden="false" customHeight="false" outlineLevel="0" collapsed="false">
      <c r="A476" s="682" t="n">
        <v>36539</v>
      </c>
      <c r="B476" s="683" t="n">
        <v>23.2397</v>
      </c>
      <c r="C476" s="683" t="n">
        <v>302.24</v>
      </c>
      <c r="D476" s="679" t="n">
        <f aca="false">+(B476/$B$2)*$D$2</f>
        <v>76.4111922141119</v>
      </c>
      <c r="E476" s="680" t="n">
        <f aca="false">+(C476/$C$2)*$E$2</f>
        <v>111.244432993485</v>
      </c>
    </row>
    <row r="477" customFormat="false" ht="12.75" hidden="false" customHeight="false" outlineLevel="0" collapsed="false">
      <c r="A477" s="682" t="n">
        <v>36543</v>
      </c>
      <c r="B477" s="683" t="n">
        <v>23.2397</v>
      </c>
      <c r="C477" s="683" t="n">
        <v>299.29</v>
      </c>
      <c r="D477" s="679" t="n">
        <f aca="false">+(B477/$B$2)*$D$2</f>
        <v>76.4111922141119</v>
      </c>
      <c r="E477" s="680" t="n">
        <f aca="false">+(C477/$C$2)*$E$2</f>
        <v>110.158636681512</v>
      </c>
    </row>
    <row r="478" customFormat="false" ht="12.75" hidden="false" customHeight="false" outlineLevel="0" collapsed="false">
      <c r="A478" s="682" t="n">
        <v>36544</v>
      </c>
      <c r="B478" s="683" t="n">
        <v>23.5407</v>
      </c>
      <c r="C478" s="683" t="n">
        <v>301.54</v>
      </c>
      <c r="D478" s="679" t="n">
        <f aca="false">+(B478/$B$2)*$D$2</f>
        <v>77.400868021306</v>
      </c>
      <c r="E478" s="680" t="n">
        <f aca="false">+(C478/$C$2)*$E$2</f>
        <v>110.986786410983</v>
      </c>
    </row>
    <row r="479" customFormat="false" ht="12.75" hidden="false" customHeight="false" outlineLevel="0" collapsed="false">
      <c r="A479" s="682" t="n">
        <v>36545</v>
      </c>
      <c r="B479" s="683" t="n">
        <v>23.6611</v>
      </c>
      <c r="C479" s="683" t="n">
        <v>308.82</v>
      </c>
      <c r="D479" s="679" t="n">
        <f aca="false">+(B479/$B$2)*$D$2</f>
        <v>77.7967383441836</v>
      </c>
      <c r="E479" s="680" t="n">
        <f aca="false">+(C479/$C$2)*$E$2</f>
        <v>113.666310869005</v>
      </c>
    </row>
    <row r="480" customFormat="false" ht="12.75" hidden="false" customHeight="false" outlineLevel="0" collapsed="false">
      <c r="A480" s="682" t="n">
        <v>36546</v>
      </c>
      <c r="B480" s="683" t="n">
        <v>23.8417</v>
      </c>
      <c r="C480" s="683" t="n">
        <v>315.09</v>
      </c>
      <c r="D480" s="679" t="n">
        <f aca="false">+(B480/$B$2)*$D$2</f>
        <v>78.3905438285</v>
      </c>
      <c r="E480" s="680" t="n">
        <f aca="false">+(C480/$C$2)*$E$2</f>
        <v>115.974088115131</v>
      </c>
    </row>
    <row r="481" customFormat="false" ht="12.75" hidden="false" customHeight="false" outlineLevel="0" collapsed="false">
      <c r="A481" s="682" t="n">
        <v>36549</v>
      </c>
      <c r="B481" s="683" t="n">
        <v>24.0826</v>
      </c>
      <c r="C481" s="683" t="n">
        <v>312.26</v>
      </c>
      <c r="D481" s="679" t="n">
        <f aca="false">+(B481/$B$2)*$D$2</f>
        <v>79.1826132702045</v>
      </c>
      <c r="E481" s="680" t="n">
        <f aca="false">+(C481/$C$2)*$E$2</f>
        <v>114.93245978873</v>
      </c>
    </row>
    <row r="482" customFormat="false" ht="12.75" hidden="false" customHeight="false" outlineLevel="0" collapsed="false">
      <c r="A482" s="682" t="n">
        <v>36550</v>
      </c>
      <c r="B482" s="683" t="n">
        <v>23.9019</v>
      </c>
      <c r="C482" s="683" t="n">
        <v>305.87</v>
      </c>
      <c r="D482" s="679" t="n">
        <f aca="false">+(B482/$B$2)*$D$2</f>
        <v>78.5884789899389</v>
      </c>
      <c r="E482" s="680" t="n">
        <f aca="false">+(C482/$C$2)*$E$2</f>
        <v>112.580514557032</v>
      </c>
    </row>
    <row r="483" customFormat="false" ht="12.75" hidden="false" customHeight="false" outlineLevel="0" collapsed="false">
      <c r="A483" s="682" t="n">
        <v>36551</v>
      </c>
      <c r="B483" s="683" t="n">
        <v>24.0223</v>
      </c>
      <c r="C483" s="683" t="n">
        <v>310.33</v>
      </c>
      <c r="D483" s="679" t="n">
        <f aca="false">+(B483/$B$2)*$D$2</f>
        <v>78.9843493128165</v>
      </c>
      <c r="E483" s="680" t="n">
        <f aca="false">+(C483/$C$2)*$E$2</f>
        <v>114.222091354117</v>
      </c>
    </row>
    <row r="484" customFormat="false" ht="12.75" hidden="false" customHeight="false" outlineLevel="0" collapsed="false">
      <c r="A484" s="682" t="n">
        <v>36552</v>
      </c>
      <c r="B484" s="683" t="n">
        <v>24.125</v>
      </c>
      <c r="C484" s="683" t="n">
        <v>310.81</v>
      </c>
      <c r="D484" s="679" t="n">
        <f aca="false">+(B484/$B$2)*$D$2</f>
        <v>79.3220227526797</v>
      </c>
      <c r="E484" s="680" t="n">
        <f aca="false">+(C484/$C$2)*$E$2</f>
        <v>114.398763296404</v>
      </c>
    </row>
    <row r="485" customFormat="false" ht="12.75" hidden="false" customHeight="false" outlineLevel="0" collapsed="false">
      <c r="A485" s="682" t="n">
        <v>36553</v>
      </c>
      <c r="B485" s="683" t="n">
        <v>23.5625</v>
      </c>
      <c r="C485" s="683" t="n">
        <v>306.58</v>
      </c>
      <c r="D485" s="679" t="n">
        <f aca="false">+(B485/$B$2)*$D$2</f>
        <v>77.472545538239</v>
      </c>
      <c r="E485" s="680" t="n">
        <f aca="false">+(C485/$C$2)*$E$2</f>
        <v>112.841841804998</v>
      </c>
    </row>
    <row r="486" customFormat="false" ht="12.75" hidden="false" customHeight="false" outlineLevel="0" collapsed="false">
      <c r="A486" s="682" t="n">
        <v>36556</v>
      </c>
      <c r="B486" s="683" t="n">
        <v>24.875</v>
      </c>
      <c r="C486" s="683" t="n">
        <v>315.14</v>
      </c>
      <c r="D486" s="679" t="n">
        <f aca="false">+(B486/$B$2)*$D$2</f>
        <v>81.787992371934</v>
      </c>
      <c r="E486" s="680" t="n">
        <f aca="false">+(C486/$C$2)*$E$2</f>
        <v>115.992491442453</v>
      </c>
    </row>
    <row r="487" customFormat="false" ht="12.75" hidden="false" customHeight="false" outlineLevel="0" collapsed="false">
      <c r="A487" s="682" t="n">
        <v>36557</v>
      </c>
      <c r="B487" s="683" t="n">
        <v>25</v>
      </c>
      <c r="C487" s="683" t="n">
        <v>312.95</v>
      </c>
      <c r="D487" s="679" t="n">
        <f aca="false">+(B487/$B$2)*$D$2</f>
        <v>82.1989873084764</v>
      </c>
      <c r="E487" s="680" t="n">
        <f aca="false">+(C487/$C$2)*$E$2</f>
        <v>115.186425705768</v>
      </c>
    </row>
    <row r="488" customFormat="false" ht="12.75" hidden="false" customHeight="false" outlineLevel="0" collapsed="false">
      <c r="A488" s="682" t="n">
        <v>36558</v>
      </c>
      <c r="B488" s="683" t="n">
        <v>25</v>
      </c>
      <c r="C488" s="683" t="n">
        <v>311.41</v>
      </c>
      <c r="D488" s="679" t="n">
        <f aca="false">+(B488/$B$2)*$D$2</f>
        <v>82.1989873084764</v>
      </c>
      <c r="E488" s="680" t="n">
        <f aca="false">+(C488/$C$2)*$E$2</f>
        <v>114.619603224263</v>
      </c>
    </row>
    <row r="489" customFormat="false" ht="12.75" hidden="false" customHeight="false" outlineLevel="0" collapsed="false">
      <c r="A489" s="682" t="n">
        <v>36559</v>
      </c>
      <c r="B489" s="683" t="n">
        <v>25.4375</v>
      </c>
      <c r="C489" s="683" t="n">
        <v>315.61</v>
      </c>
      <c r="D489" s="679" t="n">
        <f aca="false">+(B489/$B$2)*$D$2</f>
        <v>83.6374695863747</v>
      </c>
      <c r="E489" s="680" t="n">
        <f aca="false">+(C489/$C$2)*$E$2</f>
        <v>116.165482719276</v>
      </c>
    </row>
    <row r="490" customFormat="false" ht="12.75" hidden="false" customHeight="false" outlineLevel="0" collapsed="false">
      <c r="A490" s="682" t="n">
        <v>36560</v>
      </c>
      <c r="B490" s="683" t="n">
        <v>24.8125</v>
      </c>
      <c r="C490" s="683" t="n">
        <v>309.3</v>
      </c>
      <c r="D490" s="679" t="n">
        <f aca="false">+(B490/$B$2)*$D$2</f>
        <v>81.5824949036628</v>
      </c>
      <c r="E490" s="680" t="n">
        <f aca="false">+(C490/$C$2)*$E$2</f>
        <v>113.842982811292</v>
      </c>
    </row>
    <row r="491" customFormat="false" ht="12.75" hidden="false" customHeight="false" outlineLevel="0" collapsed="false">
      <c r="A491" s="682" t="n">
        <v>36563</v>
      </c>
      <c r="B491" s="683" t="n">
        <v>24.5</v>
      </c>
      <c r="C491" s="683" t="n">
        <v>306.91</v>
      </c>
      <c r="D491" s="679" t="n">
        <f aca="false">+(B491/$B$2)*$D$2</f>
        <v>80.5550075623068</v>
      </c>
      <c r="E491" s="680" t="n">
        <f aca="false">+(C491/$C$2)*$E$2</f>
        <v>112.963303765321</v>
      </c>
    </row>
    <row r="492" customFormat="false" ht="12.75" hidden="false" customHeight="false" outlineLevel="0" collapsed="false">
      <c r="A492" s="682" t="n">
        <v>36564</v>
      </c>
      <c r="B492" s="683" t="n">
        <v>24.8125</v>
      </c>
      <c r="C492" s="683" t="n">
        <v>311.31</v>
      </c>
      <c r="D492" s="679" t="n">
        <f aca="false">+(B492/$B$2)*$D$2</f>
        <v>81.5824949036628</v>
      </c>
      <c r="E492" s="680" t="n">
        <f aca="false">+(C492/$C$2)*$E$2</f>
        <v>114.58279656962</v>
      </c>
    </row>
    <row r="493" customFormat="false" ht="12.75" hidden="false" customHeight="false" outlineLevel="0" collapsed="false">
      <c r="A493" s="682" t="n">
        <v>36565</v>
      </c>
      <c r="B493" s="683" t="n">
        <v>24.5625</v>
      </c>
      <c r="C493" s="683" t="n">
        <v>309.43</v>
      </c>
      <c r="D493" s="679" t="n">
        <f aca="false">+(B493/$B$2)*$D$2</f>
        <v>80.760505030578</v>
      </c>
      <c r="E493" s="680" t="n">
        <f aca="false">+(C493/$C$2)*$E$2</f>
        <v>113.890831462328</v>
      </c>
    </row>
    <row r="494" customFormat="false" ht="12.75" hidden="false" customHeight="false" outlineLevel="0" collapsed="false">
      <c r="A494" s="682" t="n">
        <v>36566</v>
      </c>
      <c r="B494" s="683" t="n">
        <v>24.3125</v>
      </c>
      <c r="C494" s="683" t="n">
        <v>308.09</v>
      </c>
      <c r="D494" s="679" t="n">
        <f aca="false">+(B494/$B$2)*$D$2</f>
        <v>79.9385151574933</v>
      </c>
      <c r="E494" s="680" t="n">
        <f aca="false">+(C494/$C$2)*$E$2</f>
        <v>113.39762229011</v>
      </c>
    </row>
    <row r="495" customFormat="false" ht="12.75" hidden="false" customHeight="false" outlineLevel="0" collapsed="false">
      <c r="A495" s="682" t="n">
        <v>36567</v>
      </c>
      <c r="B495" s="683" t="n">
        <v>24.25</v>
      </c>
      <c r="C495" s="683" t="n">
        <v>305.97</v>
      </c>
      <c r="D495" s="679" t="n">
        <f aca="false">+(B495/$B$2)*$D$2</f>
        <v>79.7330176892221</v>
      </c>
      <c r="E495" s="680" t="n">
        <f aca="false">+(C495/$C$2)*$E$2</f>
        <v>112.617321211675</v>
      </c>
    </row>
    <row r="496" customFormat="false" ht="12.75" hidden="false" customHeight="false" outlineLevel="0" collapsed="false">
      <c r="A496" s="682" t="n">
        <v>36570</v>
      </c>
      <c r="B496" s="683" t="n">
        <v>23.9375</v>
      </c>
      <c r="C496" s="683" t="n">
        <v>307.05</v>
      </c>
      <c r="D496" s="679" t="n">
        <f aca="false">+(B496/$B$2)*$D$2</f>
        <v>78.7055303478661</v>
      </c>
      <c r="E496" s="680" t="n">
        <f aca="false">+(C496/$C$2)*$E$2</f>
        <v>113.014833081821</v>
      </c>
    </row>
    <row r="497" customFormat="false" ht="12.75" hidden="false" customHeight="false" outlineLevel="0" collapsed="false">
      <c r="A497" s="682" t="n">
        <v>36571</v>
      </c>
      <c r="B497" s="683" t="n">
        <v>23.8125</v>
      </c>
      <c r="C497" s="683" t="n">
        <v>307.42</v>
      </c>
      <c r="D497" s="679" t="n">
        <f aca="false">+(B497/$B$2)*$D$2</f>
        <v>78.2945354113237</v>
      </c>
      <c r="E497" s="680" t="n">
        <f aca="false">+(C497/$C$2)*$E$2</f>
        <v>113.151017704001</v>
      </c>
    </row>
    <row r="498" customFormat="false" ht="12.75" hidden="false" customHeight="false" outlineLevel="0" collapsed="false">
      <c r="A498" s="682" t="n">
        <v>36572</v>
      </c>
      <c r="B498" s="683" t="n">
        <v>23.9375</v>
      </c>
      <c r="C498" s="683" t="n">
        <v>306.11</v>
      </c>
      <c r="D498" s="679" t="n">
        <f aca="false">+(B498/$B$2)*$D$2</f>
        <v>78.7055303478661</v>
      </c>
      <c r="E498" s="680" t="n">
        <f aca="false">+(C498/$C$2)*$E$2</f>
        <v>112.668850528176</v>
      </c>
    </row>
    <row r="499" customFormat="false" ht="12.75" hidden="false" customHeight="false" outlineLevel="0" collapsed="false">
      <c r="A499" s="682" t="n">
        <v>36573</v>
      </c>
      <c r="B499" s="683" t="n">
        <v>23.5</v>
      </c>
      <c r="C499" s="683" t="n">
        <v>303.99</v>
      </c>
      <c r="D499" s="679" t="n">
        <f aca="false">+(B499/$B$2)*$D$2</f>
        <v>77.2670480699678</v>
      </c>
      <c r="E499" s="680" t="n">
        <f aca="false">+(C499/$C$2)*$E$2</f>
        <v>111.888549449741</v>
      </c>
    </row>
    <row r="500" customFormat="false" ht="12.75" hidden="false" customHeight="false" outlineLevel="0" collapsed="false">
      <c r="A500" s="682" t="n">
        <v>36574</v>
      </c>
      <c r="B500" s="683" t="n">
        <v>22.9375</v>
      </c>
      <c r="C500" s="683" t="n">
        <v>298.86</v>
      </c>
      <c r="D500" s="679" t="n">
        <f aca="false">+(B500/$B$2)*$D$2</f>
        <v>75.4175708555271</v>
      </c>
      <c r="E500" s="680" t="n">
        <f aca="false">+(C500/$C$2)*$E$2</f>
        <v>110.000368066546</v>
      </c>
    </row>
    <row r="501" customFormat="false" ht="12.75" hidden="false" customHeight="false" outlineLevel="0" collapsed="false">
      <c r="A501" s="682" t="n">
        <v>36578</v>
      </c>
      <c r="B501" s="683" t="n">
        <v>22.625</v>
      </c>
      <c r="C501" s="683" t="n">
        <v>295.9</v>
      </c>
      <c r="D501" s="679" t="n">
        <f aca="false">+(B501/$B$2)*$D$2</f>
        <v>74.3900835141711</v>
      </c>
      <c r="E501" s="680" t="n">
        <f aca="false">+(C501/$C$2)*$E$2</f>
        <v>108.910891089109</v>
      </c>
    </row>
    <row r="502" customFormat="false" ht="12.75" hidden="false" customHeight="false" outlineLevel="0" collapsed="false">
      <c r="A502" s="682" t="n">
        <v>36579</v>
      </c>
      <c r="B502" s="683" t="n">
        <v>22.375</v>
      </c>
      <c r="C502" s="683" t="n">
        <v>293.52</v>
      </c>
      <c r="D502" s="679" t="n">
        <f aca="false">+(B502/$B$2)*$D$2</f>
        <v>73.5680936410863</v>
      </c>
      <c r="E502" s="680" t="n">
        <f aca="false">+(C502/$C$2)*$E$2</f>
        <v>108.034892708602</v>
      </c>
    </row>
    <row r="503" customFormat="false" ht="12.75" hidden="false" customHeight="false" outlineLevel="0" collapsed="false">
      <c r="A503" s="682" t="n">
        <v>36580</v>
      </c>
      <c r="B503" s="683" t="n">
        <v>21.3125</v>
      </c>
      <c r="C503" s="683" t="n">
        <v>285.53</v>
      </c>
      <c r="D503" s="679" t="n">
        <f aca="false">+(B503/$B$2)*$D$2</f>
        <v>70.0746366804761</v>
      </c>
      <c r="E503" s="680" t="n">
        <f aca="false">+(C503/$C$2)*$E$2</f>
        <v>105.094041002613</v>
      </c>
    </row>
    <row r="504" customFormat="false" ht="12.75" hidden="false" customHeight="false" outlineLevel="0" collapsed="false">
      <c r="A504" s="682" t="n">
        <v>36581</v>
      </c>
      <c r="B504" s="683" t="n">
        <v>21</v>
      </c>
      <c r="C504" s="683" t="n">
        <v>279.99</v>
      </c>
      <c r="D504" s="679" t="n">
        <f aca="false">+(B504/$B$2)*$D$2</f>
        <v>69.0471493391201</v>
      </c>
      <c r="E504" s="680" t="n">
        <f aca="false">+(C504/$C$2)*$E$2</f>
        <v>103.054952335382</v>
      </c>
    </row>
    <row r="505" customFormat="false" ht="12.75" hidden="false" customHeight="false" outlineLevel="0" collapsed="false">
      <c r="A505" s="682" t="n">
        <v>36584</v>
      </c>
      <c r="B505" s="683" t="n">
        <v>21.375</v>
      </c>
      <c r="C505" s="683" t="n">
        <v>288.15</v>
      </c>
      <c r="D505" s="679" t="n">
        <f aca="false">+(B505/$B$2)*$D$2</f>
        <v>70.2801341487473</v>
      </c>
      <c r="E505" s="680" t="n">
        <f aca="false">+(C505/$C$2)*$E$2</f>
        <v>106.058375354264</v>
      </c>
    </row>
    <row r="506" customFormat="false" ht="12.75" hidden="false" customHeight="false" outlineLevel="0" collapsed="false">
      <c r="A506" s="682" t="n">
        <v>36585</v>
      </c>
      <c r="B506" s="683" t="n">
        <v>21.375</v>
      </c>
      <c r="C506" s="683" t="n">
        <v>288.48</v>
      </c>
      <c r="D506" s="679" t="n">
        <f aca="false">+(B506/$B$2)*$D$2</f>
        <v>70.2801341487473</v>
      </c>
      <c r="E506" s="680" t="n">
        <f aca="false">+(C506/$C$2)*$E$2</f>
        <v>106.179837314586</v>
      </c>
    </row>
    <row r="507" customFormat="false" ht="12.75" hidden="false" customHeight="false" outlineLevel="0" collapsed="false">
      <c r="A507" s="682" t="n">
        <v>36586</v>
      </c>
      <c r="B507" s="683" t="n">
        <v>21.0625</v>
      </c>
      <c r="C507" s="683" t="n">
        <v>287.38</v>
      </c>
      <c r="D507" s="679" t="n">
        <f aca="false">+(B507/$B$2)*$D$2</f>
        <v>69.2526468073913</v>
      </c>
      <c r="E507" s="680" t="n">
        <f aca="false">+(C507/$C$2)*$E$2</f>
        <v>105.774964113512</v>
      </c>
    </row>
    <row r="508" customFormat="false" ht="12.75" hidden="false" customHeight="false" outlineLevel="0" collapsed="false">
      <c r="A508" s="682" t="n">
        <v>36587</v>
      </c>
      <c r="B508" s="683" t="n">
        <v>21.0625</v>
      </c>
      <c r="C508" s="683" t="n">
        <v>287.98</v>
      </c>
      <c r="D508" s="679" t="n">
        <f aca="false">+(B508/$B$2)*$D$2</f>
        <v>69.2526468073913</v>
      </c>
      <c r="E508" s="680" t="n">
        <f aca="false">+(C508/$C$2)*$E$2</f>
        <v>105.995804041371</v>
      </c>
    </row>
    <row r="509" customFormat="false" ht="12.75" hidden="false" customHeight="false" outlineLevel="0" collapsed="false">
      <c r="A509" s="682" t="n">
        <v>36588</v>
      </c>
      <c r="B509" s="683" t="n">
        <v>21.4375</v>
      </c>
      <c r="C509" s="683" t="n">
        <v>290.2</v>
      </c>
      <c r="D509" s="679" t="n">
        <f aca="false">+(B509/$B$2)*$D$2</f>
        <v>70.4856316170185</v>
      </c>
      <c r="E509" s="680" t="n">
        <f aca="false">+(C509/$C$2)*$E$2</f>
        <v>106.812911774449</v>
      </c>
    </row>
    <row r="510" customFormat="false" ht="12.75" hidden="false" customHeight="false" outlineLevel="0" collapsed="false">
      <c r="A510" s="682" t="n">
        <v>36591</v>
      </c>
      <c r="B510" s="683" t="n">
        <v>20.875</v>
      </c>
      <c r="C510" s="683" t="n">
        <v>280.8</v>
      </c>
      <c r="D510" s="679" t="n">
        <f aca="false">+(B510/$B$2)*$D$2</f>
        <v>68.6361544025778</v>
      </c>
      <c r="E510" s="680" t="n">
        <f aca="false">+(C510/$C$2)*$E$2</f>
        <v>103.353086237992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Z504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75" zoomScalePageLayoutView="70" workbookViewId="0">
      <pane xSplit="5" ySplit="6" topLeftCell="F79" activePane="bottomRight" state="frozen"/>
      <selection pane="topLeft" activeCell="A1" activeCellId="0" sqref="A1"/>
      <selection pane="topRight" activeCell="F1" activeCellId="0" sqref="F1"/>
      <selection pane="bottomLeft" activeCell="A79" activeCellId="0" sqref="A79"/>
      <selection pane="bottomRight" activeCell="P112" activeCellId="0" sqref="P1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3.7"/>
    <col collapsed="false" customWidth="true" hidden="false" outlineLevel="0" max="5" min="5" style="0" width="19.14"/>
    <col collapsed="false" customWidth="true" hidden="false" outlineLevel="0" max="6" min="6" style="0" width="17.14"/>
    <col collapsed="false" customWidth="true" hidden="false" outlineLevel="0" max="7" min="7" style="0" width="13.7"/>
    <col collapsed="false" customWidth="true" hidden="false" outlineLevel="0" max="8" min="8" style="0" width="13.41"/>
    <col collapsed="false" customWidth="true" hidden="false" outlineLevel="0" max="9" min="9" style="0" width="13.7"/>
    <col collapsed="false" customWidth="true" hidden="false" outlineLevel="0" max="10" min="10" style="0" width="13.41"/>
    <col collapsed="false" customWidth="true" hidden="false" outlineLevel="0" max="12" min="11" style="0" width="14.41"/>
    <col collapsed="false" customWidth="true" hidden="false" outlineLevel="0" max="13" min="13" style="27" width="11.99"/>
    <col collapsed="false" customWidth="true" hidden="false" outlineLevel="0" max="14" min="14" style="27" width="14.85"/>
    <col collapsed="false" customWidth="true" hidden="false" outlineLevel="0" max="15" min="15" style="27" width="11.99"/>
    <col collapsed="false" customWidth="true" hidden="false" outlineLevel="0" max="16" min="16" style="0" width="11.99"/>
    <col collapsed="false" customWidth="true" hidden="false" outlineLevel="0" max="18" min="18" style="0" width="13.28"/>
    <col collapsed="false" customWidth="true" hidden="false" outlineLevel="0" max="19" min="19" style="0" width="13.7"/>
    <col collapsed="false" customWidth="true" hidden="false" outlineLevel="0" max="20" min="20" style="0" width="12.56"/>
    <col collapsed="false" customWidth="true" hidden="false" outlineLevel="0" max="23" min="21" style="0" width="13.41"/>
    <col collapsed="false" customWidth="true" hidden="false" outlineLevel="0" max="24" min="24" style="27" width="13.7"/>
    <col collapsed="false" customWidth="true" hidden="false" outlineLevel="0" max="25" min="25" style="27" width="10.56"/>
    <col collapsed="false" customWidth="true" hidden="false" outlineLevel="0" max="26" min="26" style="27" width="12.14"/>
    <col collapsed="false" customWidth="true" hidden="false" outlineLevel="0" max="27" min="27" style="27" width="11.42"/>
    <col collapsed="false" customWidth="true" hidden="false" outlineLevel="0" max="29" min="28" style="0" width="10.28"/>
    <col collapsed="false" customWidth="true" hidden="false" outlineLevel="0" max="30" min="30" style="0" width="12.28"/>
    <col collapsed="false" customWidth="true" hidden="false" outlineLevel="0" max="31" min="31" style="0" width="11.28"/>
    <col collapsed="false" customWidth="true" hidden="false" outlineLevel="0" max="35" min="32" style="0" width="12.28"/>
    <col collapsed="false" customWidth="true" hidden="false" outlineLevel="0" max="36" min="36" style="0" width="11.85"/>
    <col collapsed="false" customWidth="true" hidden="false" outlineLevel="0" max="37" min="37" style="0" width="10.56"/>
    <col collapsed="false" customWidth="true" hidden="false" outlineLevel="0" max="38" min="38" style="0" width="10.99"/>
    <col collapsed="false" customWidth="true" hidden="true" outlineLevel="0" max="39" min="39" style="0" width="11.42"/>
    <col collapsed="false" customWidth="true" hidden="true" outlineLevel="0" max="40" min="40" style="0" width="10.28"/>
    <col collapsed="false" customWidth="true" hidden="false" outlineLevel="0" max="41" min="41" style="0" width="0.13"/>
    <col collapsed="false" customWidth="true" hidden="false" outlineLevel="0" max="42" min="42" style="0" width="10.28"/>
    <col collapsed="false" customWidth="true" hidden="false" outlineLevel="0" max="43" min="43" style="0" width="9.7"/>
    <col collapsed="false" customWidth="true" hidden="false" outlineLevel="0" max="44" min="44" style="27" width="11.56"/>
    <col collapsed="false" customWidth="true" hidden="false" outlineLevel="0" max="45" min="45" style="0" width="11.56"/>
    <col collapsed="false" customWidth="true" hidden="false" outlineLevel="0" max="46" min="46" style="0" width="11.85"/>
    <col collapsed="false" customWidth="true" hidden="false" outlineLevel="0" max="47" min="47" style="0" width="11.56"/>
    <col collapsed="false" customWidth="true" hidden="false" outlineLevel="0" max="48" min="48" style="0" width="11.85"/>
  </cols>
  <sheetData>
    <row r="1" customFormat="false" ht="15.75" hidden="false" customHeight="false" outlineLevel="0" collapsed="false">
      <c r="A1" s="358" t="s">
        <v>513</v>
      </c>
    </row>
    <row r="2" customFormat="false" ht="12.75" hidden="false" customHeight="false" outlineLevel="0" collapsed="false">
      <c r="A2" s="28" t="s">
        <v>758</v>
      </c>
    </row>
    <row r="3" customFormat="false" ht="12.75" hidden="false" customHeight="false" outlineLevel="0" collapsed="false">
      <c r="A3" s="0" t="s">
        <v>122</v>
      </c>
    </row>
    <row r="4" customFormat="false" ht="15.75" hidden="false" customHeight="false" outlineLevel="0" collapsed="false">
      <c r="A4" s="390"/>
      <c r="B4" s="390"/>
      <c r="C4" s="390"/>
      <c r="D4" s="390"/>
      <c r="E4" s="390"/>
      <c r="F4" s="390"/>
      <c r="G4" s="425" t="s">
        <v>759</v>
      </c>
      <c r="H4" s="425"/>
      <c r="I4" s="425"/>
      <c r="J4" s="425"/>
      <c r="K4" s="684"/>
      <c r="L4" s="684"/>
      <c r="M4" s="684"/>
      <c r="N4" s="684"/>
      <c r="O4" s="684"/>
      <c r="P4" s="390"/>
      <c r="Q4" s="390"/>
      <c r="R4" s="425" t="s">
        <v>760</v>
      </c>
      <c r="S4" s="425"/>
      <c r="T4" s="425"/>
      <c r="U4" s="425"/>
      <c r="V4" s="684"/>
      <c r="W4" s="684"/>
      <c r="X4" s="684"/>
      <c r="Y4" s="684"/>
      <c r="Z4" s="684"/>
      <c r="AA4" s="684"/>
      <c r="AB4" s="390"/>
      <c r="AP4" s="390"/>
      <c r="AQ4" s="390"/>
      <c r="AR4" s="425"/>
      <c r="AS4" s="425"/>
      <c r="AT4" s="425"/>
      <c r="AU4" s="390"/>
      <c r="AV4" s="390"/>
    </row>
    <row r="5" customFormat="false" ht="12.75" hidden="false" customHeight="false" outlineLevel="0" collapsed="false">
      <c r="M5" s="450" t="s">
        <v>415</v>
      </c>
      <c r="N5" s="685" t="s">
        <v>761</v>
      </c>
      <c r="O5" s="450"/>
      <c r="X5" s="450" t="s">
        <v>415</v>
      </c>
      <c r="Y5" s="685" t="s">
        <v>761</v>
      </c>
      <c r="Z5" s="450"/>
      <c r="AA5" s="450"/>
      <c r="AR5" s="450" t="s">
        <v>762</v>
      </c>
      <c r="AT5" s="363" t="s">
        <v>415</v>
      </c>
    </row>
    <row r="6" customFormat="false" ht="12.75" hidden="false" customHeight="false" outlineLevel="0" collapsed="false">
      <c r="A6" s="28"/>
      <c r="G6" s="657" t="n">
        <v>1995</v>
      </c>
      <c r="H6" s="657" t="n">
        <f aca="false">G6+1</f>
        <v>1996</v>
      </c>
      <c r="I6" s="657" t="n">
        <f aca="false">H6+1</f>
        <v>1997</v>
      </c>
      <c r="J6" s="657" t="n">
        <v>1998</v>
      </c>
      <c r="K6" s="657" t="s">
        <v>763</v>
      </c>
      <c r="L6" s="657" t="s">
        <v>764</v>
      </c>
      <c r="M6" s="657" t="n">
        <v>1999</v>
      </c>
      <c r="N6" s="686" t="s">
        <v>765</v>
      </c>
      <c r="O6" s="657" t="n">
        <v>1999</v>
      </c>
      <c r="P6" s="657" t="n">
        <v>2000</v>
      </c>
      <c r="Q6" s="657"/>
      <c r="R6" s="657" t="n">
        <v>1995</v>
      </c>
      <c r="S6" s="657" t="n">
        <f aca="false">R6+1</f>
        <v>1996</v>
      </c>
      <c r="T6" s="657" t="n">
        <f aca="false">S6+1</f>
        <v>1997</v>
      </c>
      <c r="U6" s="657" t="n">
        <v>1998</v>
      </c>
      <c r="V6" s="657" t="s">
        <v>766</v>
      </c>
      <c r="W6" s="657" t="s">
        <v>764</v>
      </c>
      <c r="X6" s="657" t="n">
        <v>1999</v>
      </c>
      <c r="Y6" s="686" t="s">
        <v>765</v>
      </c>
      <c r="Z6" s="657" t="n">
        <v>1999</v>
      </c>
      <c r="AA6" s="657" t="n">
        <v>2000</v>
      </c>
      <c r="AB6" s="687"/>
      <c r="AP6" s="687"/>
      <c r="AQ6" s="656" t="s">
        <v>767</v>
      </c>
      <c r="AR6" s="657" t="n">
        <v>1997</v>
      </c>
      <c r="AS6" s="657" t="n">
        <v>1998</v>
      </c>
      <c r="AT6" s="657" t="n">
        <v>1999</v>
      </c>
      <c r="AU6" s="657" t="n">
        <v>1999</v>
      </c>
      <c r="AV6" s="657" t="n">
        <v>2000</v>
      </c>
    </row>
    <row r="7" customFormat="false" ht="8.25" hidden="false" customHeight="true" outlineLevel="0" collapsed="false">
      <c r="J7" s="0" t="s">
        <v>768</v>
      </c>
      <c r="N7" s="436"/>
      <c r="Y7" s="436"/>
    </row>
    <row r="8" customFormat="false" ht="12.75" hidden="false" customHeight="false" outlineLevel="0" collapsed="false">
      <c r="A8" s="28" t="s">
        <v>769</v>
      </c>
      <c r="N8" s="688"/>
      <c r="Y8" s="688"/>
      <c r="AB8" s="689"/>
      <c r="AP8" s="689"/>
    </row>
    <row r="9" customFormat="false" ht="12.75" hidden="false" customHeight="false" outlineLevel="0" collapsed="false">
      <c r="A9" s="0" t="s">
        <v>770</v>
      </c>
      <c r="G9" s="690" t="n">
        <v>473.170019</v>
      </c>
      <c r="H9" s="690" t="n">
        <v>488.613521</v>
      </c>
      <c r="I9" s="690" t="n">
        <v>447.180606</v>
      </c>
      <c r="J9" s="690" t="n">
        <v>489.081784</v>
      </c>
      <c r="K9" s="690"/>
      <c r="L9" s="690"/>
      <c r="M9" s="691" t="n">
        <f aca="false">J9/J$16*M$16</f>
        <v>595.870395986956</v>
      </c>
      <c r="N9" s="692"/>
      <c r="O9" s="691" t="n">
        <f aca="false">(O42+O43)*O28/1000</f>
        <v>444.206458541557</v>
      </c>
      <c r="P9" s="691" t="n">
        <f aca="false">(P42+P43)*P28/1000</f>
        <v>439.997445449515</v>
      </c>
      <c r="Q9" s="693"/>
      <c r="R9" s="690" t="n">
        <v>418.935734</v>
      </c>
      <c r="S9" s="690" t="n">
        <v>431.519385</v>
      </c>
      <c r="T9" s="690" t="n">
        <v>464.52002</v>
      </c>
      <c r="U9" s="690" t="n">
        <v>470.152004</v>
      </c>
      <c r="V9" s="690"/>
      <c r="W9" s="690"/>
      <c r="X9" s="691" t="n">
        <f aca="false">U9/$U$16*$X$16</f>
        <v>476.829491987886</v>
      </c>
      <c r="Y9" s="688"/>
      <c r="Z9" s="691" t="n">
        <f aca="false">(Z42+Z43)*Z28/1000</f>
        <v>420.429756172283</v>
      </c>
      <c r="AA9" s="691" t="n">
        <f aca="false">(AA42+AA43)*AA28/1000</f>
        <v>410.89093301131</v>
      </c>
      <c r="AB9" s="688"/>
      <c r="AP9" s="688"/>
      <c r="AQ9" s="690"/>
      <c r="AR9" s="691" t="n">
        <f aca="false">T9+I9+AQ9+AF9</f>
        <v>911.700626</v>
      </c>
      <c r="AS9" s="691" t="n">
        <f aca="false">U9+J9+AG9</f>
        <v>959.233788</v>
      </c>
      <c r="AT9" s="691" t="n">
        <f aca="false">X9+M9+AJ9</f>
        <v>1072.69988797484</v>
      </c>
      <c r="AU9" s="691" t="n">
        <f aca="false">O9+Z9+AL9</f>
        <v>864.636214713841</v>
      </c>
      <c r="AV9" s="691" t="n">
        <f aca="false">P9+AA9+AM9</f>
        <v>850.888378460826</v>
      </c>
      <c r="AW9" s="661"/>
      <c r="AX9" s="661"/>
      <c r="AY9" s="661"/>
      <c r="AZ9" s="661"/>
      <c r="BA9" s="661"/>
      <c r="BB9" s="661"/>
      <c r="BC9" s="661"/>
      <c r="BD9" s="661"/>
      <c r="BE9" s="661"/>
      <c r="BF9" s="661"/>
      <c r="BG9" s="661"/>
      <c r="BH9" s="661"/>
      <c r="BI9" s="661"/>
      <c r="BJ9" s="661"/>
      <c r="BK9" s="661"/>
    </row>
    <row r="10" customFormat="false" ht="12.75" hidden="false" customHeight="false" outlineLevel="0" collapsed="false">
      <c r="A10" s="0" t="s">
        <v>771</v>
      </c>
      <c r="G10" s="658" t="n">
        <v>335.957653</v>
      </c>
      <c r="H10" s="658" t="n">
        <v>341.180916</v>
      </c>
      <c r="I10" s="658" t="n">
        <v>336.370301</v>
      </c>
      <c r="J10" s="658" t="n">
        <v>354.393027</v>
      </c>
      <c r="K10" s="658"/>
      <c r="L10" s="658"/>
      <c r="M10" s="451" t="n">
        <f aca="false">J10/J$16*M$16</f>
        <v>431.773008608937</v>
      </c>
      <c r="N10" s="688"/>
      <c r="O10" s="451" t="n">
        <f aca="false">(O43+O44)*O29/1000</f>
        <v>321.602786379063</v>
      </c>
      <c r="P10" s="451" t="n">
        <f aca="false">(P43+P44)*P29/1000</f>
        <v>322.087161067678</v>
      </c>
      <c r="Q10" s="693"/>
      <c r="R10" s="658" t="n">
        <v>273.859333</v>
      </c>
      <c r="S10" s="658" t="n">
        <v>280.245562</v>
      </c>
      <c r="T10" s="658" t="n">
        <v>271.369</v>
      </c>
      <c r="U10" s="658" t="n">
        <v>312.107978</v>
      </c>
      <c r="V10" s="658"/>
      <c r="W10" s="658"/>
      <c r="X10" s="451" t="n">
        <f aca="false">U10/$U$16*$X$16</f>
        <v>316.54079388994</v>
      </c>
      <c r="Y10" s="688"/>
      <c r="Z10" s="451" t="n">
        <f aca="false">(Z43+Z44)*Z29/1000</f>
        <v>277.39436263911</v>
      </c>
      <c r="AA10" s="451" t="n">
        <f aca="false">(AA43+AA44)*AA29/1000</f>
        <v>284.674383782781</v>
      </c>
      <c r="AB10" s="688"/>
      <c r="AP10" s="688"/>
      <c r="AQ10" s="658"/>
      <c r="AR10" s="451" t="n">
        <f aca="false">T10+I10+AQ10+AF10</f>
        <v>607.739301</v>
      </c>
      <c r="AS10" s="451" t="n">
        <f aca="false">U10+J10+AG10</f>
        <v>666.501005</v>
      </c>
      <c r="AT10" s="451" t="n">
        <f aca="false">X10+M10+AJ10</f>
        <v>748.313802498877</v>
      </c>
      <c r="AU10" s="451" t="n">
        <f aca="false">O10+Z10+AL10</f>
        <v>598.997149018173</v>
      </c>
      <c r="AV10" s="451" t="n">
        <f aca="false">P10+AA10+AM10</f>
        <v>606.761544850459</v>
      </c>
      <c r="AW10" s="324"/>
      <c r="AX10" s="324"/>
      <c r="AY10" s="324"/>
      <c r="AZ10" s="324"/>
      <c r="BA10" s="324"/>
      <c r="BB10" s="324"/>
      <c r="BC10" s="324"/>
      <c r="BD10" s="324"/>
      <c r="BE10" s="324"/>
      <c r="BF10" s="324"/>
      <c r="BG10" s="324"/>
      <c r="BH10" s="324"/>
      <c r="BI10" s="324"/>
    </row>
    <row r="11" customFormat="false" ht="12.75" hidden="false" customHeight="false" outlineLevel="0" collapsed="false">
      <c r="A11" s="0" t="s">
        <v>772</v>
      </c>
      <c r="G11" s="658" t="n">
        <v>261.630983</v>
      </c>
      <c r="H11" s="658" t="n">
        <v>268.504071</v>
      </c>
      <c r="I11" s="658" t="n">
        <v>262.934117</v>
      </c>
      <c r="J11" s="658" t="n">
        <v>279.812218</v>
      </c>
      <c r="K11" s="658"/>
      <c r="L11" s="658"/>
      <c r="M11" s="451" t="n">
        <f aca="false">J11/J$16*M$16</f>
        <v>340.907845264686</v>
      </c>
      <c r="N11" s="688"/>
      <c r="O11" s="451" t="n">
        <f aca="false">(O44+O45)*O30/1000</f>
        <v>389.255435016138</v>
      </c>
      <c r="P11" s="451" t="n">
        <f aca="false">(P44+P45)*P30/1000</f>
        <v>393.587709103682</v>
      </c>
      <c r="Q11" s="688"/>
      <c r="R11" s="658" t="n">
        <v>334.974208</v>
      </c>
      <c r="S11" s="658" t="n">
        <v>347.923907</v>
      </c>
      <c r="T11" s="658" t="n">
        <v>388.771674</v>
      </c>
      <c r="U11" s="658" t="n">
        <v>378.569745</v>
      </c>
      <c r="V11" s="658"/>
      <c r="W11" s="658"/>
      <c r="X11" s="451" t="n">
        <f aca="false">U11/$U$16*$X$16</f>
        <v>383.946505926907</v>
      </c>
      <c r="Y11" s="688"/>
      <c r="Z11" s="451" t="n">
        <f aca="false">(Z44+Z45)*Z30/1000</f>
        <v>496.453271628688</v>
      </c>
      <c r="AA11" s="451" t="n">
        <f aca="false">(AA44+AA45)*AA30/1000</f>
        <v>513.640907772147</v>
      </c>
      <c r="AB11" s="688"/>
      <c r="AP11" s="688"/>
      <c r="AQ11" s="658"/>
      <c r="AR11" s="451" t="n">
        <f aca="false">T11+I11+AQ11+AF11</f>
        <v>651.705791</v>
      </c>
      <c r="AS11" s="451" t="n">
        <f aca="false">U11+J11+AG11</f>
        <v>658.381963</v>
      </c>
      <c r="AT11" s="451" t="n">
        <f aca="false">X11+M11+AJ11</f>
        <v>724.854351191593</v>
      </c>
      <c r="AU11" s="451" t="n">
        <f aca="false">O11+Z11+AL11</f>
        <v>885.708706644826</v>
      </c>
      <c r="AV11" s="451" t="n">
        <f aca="false">P11+AA11+AM11</f>
        <v>907.228616875829</v>
      </c>
      <c r="AW11" s="324"/>
      <c r="AX11" s="324"/>
      <c r="AY11" s="324"/>
      <c r="AZ11" s="324"/>
      <c r="BA11" s="324"/>
      <c r="BB11" s="324"/>
      <c r="BC11" s="324"/>
      <c r="BD11" s="324"/>
      <c r="BE11" s="324"/>
      <c r="BF11" s="324"/>
      <c r="BG11" s="324"/>
      <c r="BH11" s="324"/>
      <c r="BI11" s="324"/>
    </row>
    <row r="12" customFormat="false" ht="12.75" hidden="false" customHeight="false" outlineLevel="0" collapsed="false">
      <c r="A12" s="0" t="s">
        <v>773</v>
      </c>
      <c r="G12" s="658" t="n">
        <v>5.517898</v>
      </c>
      <c r="H12" s="658" t="n">
        <v>5.676815</v>
      </c>
      <c r="I12" s="658" t="n">
        <v>5.417092</v>
      </c>
      <c r="J12" s="658" t="n">
        <v>5.968466</v>
      </c>
      <c r="K12" s="658"/>
      <c r="L12" s="658"/>
      <c r="M12" s="451" t="n">
        <f aca="false">J12/J$16*M$16</f>
        <v>7.27165131722568</v>
      </c>
      <c r="N12" s="688"/>
      <c r="O12" s="451" t="n">
        <f aca="false">(O45+O46)*O31/1000</f>
        <v>3.42911711344226</v>
      </c>
      <c r="P12" s="451" t="n">
        <f aca="false">(P45+P46)*P31/1000</f>
        <v>3.39379043541739</v>
      </c>
      <c r="Q12" s="688"/>
      <c r="R12" s="658" t="n">
        <v>7.603506</v>
      </c>
      <c r="S12" s="658" t="n">
        <v>7.881475</v>
      </c>
      <c r="T12" s="658" t="n">
        <v>8.301318</v>
      </c>
      <c r="U12" s="658" t="n">
        <v>8.451416</v>
      </c>
      <c r="V12" s="658"/>
      <c r="W12" s="658"/>
      <c r="X12" s="451" t="n">
        <f aca="false">U12/$U$16*$X$16</f>
        <v>8.57145000674779</v>
      </c>
      <c r="Y12" s="688"/>
      <c r="Z12" s="451" t="n">
        <f aca="false">(Z45+Z46)*Z31/1000</f>
        <v>1.97390900870615</v>
      </c>
      <c r="AA12" s="451" t="n">
        <f aca="false">(AA45+AA46)*AA31/1000</f>
        <v>1.93378043565875</v>
      </c>
      <c r="AB12" s="688"/>
      <c r="AP12" s="688"/>
      <c r="AQ12" s="658"/>
      <c r="AR12" s="451" t="n">
        <f aca="false">T12+I12+AQ12+AF12</f>
        <v>13.71841</v>
      </c>
      <c r="AS12" s="451" t="n">
        <f aca="false">U12+J12+AG12</f>
        <v>14.419882</v>
      </c>
      <c r="AT12" s="451" t="n">
        <f aca="false">X12+M12+AJ12</f>
        <v>15.8431013239735</v>
      </c>
      <c r="AU12" s="451" t="n">
        <f aca="false">O12+Z12+AL12</f>
        <v>5.40302612214841</v>
      </c>
      <c r="AV12" s="451" t="n">
        <f aca="false">P12+AA12+AM12</f>
        <v>5.32757087107613</v>
      </c>
      <c r="AW12" s="324"/>
      <c r="AX12" s="324"/>
      <c r="AY12" s="324"/>
      <c r="AZ12" s="324"/>
      <c r="BA12" s="324"/>
      <c r="BB12" s="324"/>
      <c r="BC12" s="324"/>
      <c r="BD12" s="324"/>
      <c r="BE12" s="324"/>
      <c r="BF12" s="324"/>
      <c r="BG12" s="324"/>
      <c r="BH12" s="324"/>
      <c r="BI12" s="324"/>
    </row>
    <row r="13" customFormat="false" ht="12.75" hidden="false" customHeight="false" outlineLevel="0" collapsed="false">
      <c r="A13" s="0" t="s">
        <v>774</v>
      </c>
      <c r="G13" s="658" t="n">
        <v>73.793807</v>
      </c>
      <c r="H13" s="658" t="n">
        <v>74.213271</v>
      </c>
      <c r="I13" s="658" t="n">
        <v>71.675037</v>
      </c>
      <c r="J13" s="658" t="n">
        <v>74.158686</v>
      </c>
      <c r="K13" s="658"/>
      <c r="L13" s="658"/>
      <c r="M13" s="451" t="n">
        <f aca="false">J13/J$16*M$16</f>
        <v>90.3508718547824</v>
      </c>
      <c r="N13" s="688"/>
      <c r="O13" s="451" t="n">
        <f aca="false">(O46+O47)*O32/1000</f>
        <v>52.1278957602416</v>
      </c>
      <c r="P13" s="451" t="n">
        <f aca="false">(P46+P47)*P32/1000</f>
        <v>51.1348584094202</v>
      </c>
      <c r="Q13" s="688"/>
      <c r="R13" s="658" t="n">
        <v>0.036875</v>
      </c>
      <c r="S13" s="658" t="n">
        <v>0.059884</v>
      </c>
      <c r="T13" s="658" t="n">
        <v>0.053496</v>
      </c>
      <c r="U13" s="658" t="n">
        <v>0.059954</v>
      </c>
      <c r="V13" s="658"/>
      <c r="W13" s="658"/>
      <c r="X13" s="451" t="n">
        <f aca="false">U13/$U$16*$X$16</f>
        <v>0.0608055163424161</v>
      </c>
      <c r="Y13" s="688"/>
      <c r="Z13" s="451" t="n">
        <f aca="false">(Z46+Z47)*Z32/1000</f>
        <v>0.0237573578183724</v>
      </c>
      <c r="AA13" s="451" t="n">
        <f aca="false">(AA46+AA47)*AA32/1000</f>
        <v>0.0275701893871611</v>
      </c>
      <c r="AB13" s="688"/>
      <c r="AP13" s="688"/>
      <c r="AQ13" s="658"/>
      <c r="AR13" s="451" t="n">
        <f aca="false">T13+I13+AQ13+AF13</f>
        <v>71.728533</v>
      </c>
      <c r="AS13" s="451" t="n">
        <f aca="false">U13+J13+AG13</f>
        <v>74.21864</v>
      </c>
      <c r="AT13" s="451" t="n">
        <f aca="false">X13+M13+AJ13</f>
        <v>90.4116773711248</v>
      </c>
      <c r="AU13" s="451" t="n">
        <f aca="false">O13+Z13+AL13</f>
        <v>52.15165311806</v>
      </c>
      <c r="AV13" s="451" t="n">
        <f aca="false">P13+AA13+AM13</f>
        <v>51.1624285988073</v>
      </c>
      <c r="AW13" s="324"/>
      <c r="AX13" s="324"/>
      <c r="AY13" s="324"/>
      <c r="AZ13" s="324"/>
      <c r="BA13" s="324"/>
      <c r="BB13" s="324"/>
      <c r="BC13" s="324"/>
      <c r="BD13" s="324"/>
      <c r="BE13" s="324"/>
      <c r="BF13" s="324"/>
      <c r="BG13" s="324"/>
      <c r="BH13" s="324"/>
      <c r="BI13" s="324"/>
    </row>
    <row r="14" customFormat="false" ht="12.75" hidden="false" customHeight="false" outlineLevel="0" collapsed="false">
      <c r="A14" s="0" t="s">
        <v>775</v>
      </c>
      <c r="G14" s="658" t="n">
        <v>0.466946</v>
      </c>
      <c r="H14" s="658" t="n">
        <v>0.467846</v>
      </c>
      <c r="I14" s="658" t="n">
        <v>0.421505</v>
      </c>
      <c r="J14" s="658" t="n">
        <v>0.381751</v>
      </c>
      <c r="K14" s="658"/>
      <c r="L14" s="658"/>
      <c r="M14" s="451" t="n">
        <f aca="false">J14/J$16*M$16</f>
        <v>0.465104461012632</v>
      </c>
      <c r="N14" s="688"/>
      <c r="O14" s="451" t="n">
        <f aca="false">(O47+O48)*O33/1000</f>
        <v>0.479062200348688</v>
      </c>
      <c r="P14" s="451" t="n">
        <f aca="false">(P47+P48)*P33/1000</f>
        <v>0.447409259728456</v>
      </c>
      <c r="Q14" s="688"/>
      <c r="R14" s="658" t="n">
        <v>0</v>
      </c>
      <c r="S14" s="658" t="n">
        <v>0</v>
      </c>
      <c r="T14" s="658" t="n">
        <v>0</v>
      </c>
      <c r="U14" s="658" t="n">
        <v>0</v>
      </c>
      <c r="V14" s="658"/>
      <c r="W14" s="658"/>
      <c r="X14" s="451" t="n">
        <f aca="false">U14/$U$16*$X$16</f>
        <v>0</v>
      </c>
      <c r="Y14" s="688"/>
      <c r="Z14" s="451" t="n">
        <v>0</v>
      </c>
      <c r="AA14" s="451" t="n">
        <v>0</v>
      </c>
      <c r="AB14" s="688"/>
      <c r="AP14" s="688"/>
      <c r="AQ14" s="658"/>
      <c r="AR14" s="451" t="n">
        <f aca="false">T14+I14+AQ14+AF14</f>
        <v>0.421505</v>
      </c>
      <c r="AS14" s="451" t="n">
        <f aca="false">U14+J14+AG14</f>
        <v>0.381751</v>
      </c>
      <c r="AT14" s="451" t="n">
        <f aca="false">X14+M14+AJ14</f>
        <v>0.465104461012632</v>
      </c>
      <c r="AU14" s="451" t="n">
        <f aca="false">O14+Z14+AL14</f>
        <v>0.479062200348688</v>
      </c>
      <c r="AV14" s="451" t="n">
        <f aca="false">P14+AA14+AM14</f>
        <v>0.447409259728456</v>
      </c>
      <c r="AW14" s="324"/>
      <c r="AX14" s="324"/>
      <c r="AY14" s="324"/>
      <c r="AZ14" s="324"/>
      <c r="BA14" s="324"/>
      <c r="BB14" s="324"/>
      <c r="BC14" s="324"/>
      <c r="BD14" s="324"/>
      <c r="BE14" s="324"/>
      <c r="BF14" s="324"/>
      <c r="BG14" s="324"/>
      <c r="BH14" s="324"/>
      <c r="BI14" s="324"/>
    </row>
    <row r="15" customFormat="false" ht="15" hidden="false" customHeight="false" outlineLevel="0" collapsed="false">
      <c r="G15" s="694" t="n">
        <v>0</v>
      </c>
      <c r="H15" s="694" t="n">
        <v>0</v>
      </c>
      <c r="I15" s="694" t="n">
        <v>0</v>
      </c>
      <c r="J15" s="694" t="n">
        <v>0</v>
      </c>
      <c r="K15" s="694"/>
      <c r="L15" s="694"/>
      <c r="M15" s="659" t="n">
        <f aca="false">J15/J$16*M$16</f>
        <v>0</v>
      </c>
      <c r="N15" s="695"/>
      <c r="O15" s="659" t="n">
        <f aca="false">(O48+O49)*O34/1000</f>
        <v>0</v>
      </c>
      <c r="P15" s="659" t="n">
        <f aca="false">(P48+P49)*P34/1000</f>
        <v>0</v>
      </c>
      <c r="Q15" s="695"/>
      <c r="R15" s="694" t="n">
        <v>0</v>
      </c>
      <c r="S15" s="694" t="n">
        <v>0</v>
      </c>
      <c r="T15" s="694" t="n">
        <v>0</v>
      </c>
      <c r="U15" s="694" t="n">
        <v>0</v>
      </c>
      <c r="V15" s="694" t="n">
        <v>0</v>
      </c>
      <c r="W15" s="694" t="n">
        <v>0</v>
      </c>
      <c r="X15" s="659" t="n">
        <f aca="false">U15/$U$16*$X$16</f>
        <v>0</v>
      </c>
      <c r="Y15" s="695"/>
      <c r="Z15" s="660" t="n">
        <f aca="false">(Z48+Z49)*Z34/1000</f>
        <v>0</v>
      </c>
      <c r="AA15" s="660" t="n">
        <f aca="false">(AA48+AA49)*AA34/1000</f>
        <v>0</v>
      </c>
      <c r="AB15" s="695"/>
      <c r="AP15" s="695"/>
      <c r="AQ15" s="694"/>
      <c r="AR15" s="659" t="n">
        <f aca="false">T15+I15+AQ15+AF15</f>
        <v>0</v>
      </c>
      <c r="AS15" s="660" t="n">
        <f aca="false">U15+J15+AG15</f>
        <v>0</v>
      </c>
      <c r="AT15" s="660" t="n">
        <f aca="false">X15+M15+AJ15</f>
        <v>0</v>
      </c>
      <c r="AU15" s="660" t="n">
        <f aca="false">O15+Z15+AL15</f>
        <v>0</v>
      </c>
      <c r="AV15" s="660" t="n">
        <f aca="false">P15+AA15+AM15</f>
        <v>0</v>
      </c>
      <c r="AW15" s="324"/>
      <c r="AX15" s="324"/>
      <c r="AY15" s="324"/>
      <c r="AZ15" s="324"/>
      <c r="BA15" s="324"/>
      <c r="BB15" s="324"/>
      <c r="BC15" s="324"/>
      <c r="BD15" s="324"/>
      <c r="BE15" s="324"/>
      <c r="BF15" s="324"/>
      <c r="BG15" s="324"/>
      <c r="BH15" s="324"/>
      <c r="BI15" s="324"/>
    </row>
    <row r="16" customFormat="false" ht="12.75" hidden="false" customHeight="false" outlineLevel="0" collapsed="false">
      <c r="B16" s="0" t="s">
        <v>776</v>
      </c>
      <c r="G16" s="324" t="n">
        <f aca="false">SUM(G9:G15)</f>
        <v>1150.537306</v>
      </c>
      <c r="H16" s="324" t="n">
        <f aca="false">SUM(H9:H15)</f>
        <v>1178.65644</v>
      </c>
      <c r="I16" s="324" t="n">
        <f aca="false">SUM(I9:I15)</f>
        <v>1123.998658</v>
      </c>
      <c r="J16" s="324" t="n">
        <f aca="false">SUM(J9:J15)</f>
        <v>1203.795932</v>
      </c>
      <c r="K16" s="658"/>
      <c r="L16" s="658" t="n">
        <v>678</v>
      </c>
      <c r="M16" s="451" t="n">
        <f aca="false">J16/J23*M25</f>
        <v>1466.6388774936</v>
      </c>
      <c r="N16" s="689"/>
      <c r="O16" s="324" t="n">
        <f aca="false">SUM(O9:O15)</f>
        <v>1211.10075501079</v>
      </c>
      <c r="P16" s="324" t="n">
        <f aca="false">SUM(P9:P15)</f>
        <v>1210.64837372544</v>
      </c>
      <c r="Q16" s="689"/>
      <c r="R16" s="324" t="n">
        <f aca="false">SUM(R9:R15)</f>
        <v>1035.409656</v>
      </c>
      <c r="S16" s="324" t="n">
        <f aca="false">SUM(S9:S15)</f>
        <v>1067.630213</v>
      </c>
      <c r="T16" s="324" t="n">
        <f aca="false">SUM(T9:T15)</f>
        <v>1133.015508</v>
      </c>
      <c r="U16" s="324" t="n">
        <f aca="false">SUM(U9:U15)</f>
        <v>1169.341097</v>
      </c>
      <c r="V16" s="658" t="n">
        <v>596</v>
      </c>
      <c r="W16" s="658" t="n">
        <v>564</v>
      </c>
      <c r="X16" s="451" t="n">
        <f aca="false">U16/U23*X25</f>
        <v>1185.94904732782</v>
      </c>
      <c r="Y16" s="688"/>
      <c r="Z16" s="451" t="n">
        <f aca="false">SUM(Z9:Z15)</f>
        <v>1196.27505680661</v>
      </c>
      <c r="AA16" s="324" t="n">
        <f aca="false">SUM(AA9:AA15)</f>
        <v>1211.16757519128</v>
      </c>
      <c r="AB16" s="689"/>
      <c r="AP16" s="689"/>
      <c r="AQ16" s="324"/>
      <c r="AR16" s="451" t="n">
        <f aca="false">SUM(AR9:AR15)</f>
        <v>2257.014166</v>
      </c>
      <c r="AS16" s="451" t="n">
        <f aca="false">SUM(AS9:AS15)</f>
        <v>2373.137029</v>
      </c>
      <c r="AT16" s="451" t="n">
        <f aca="false">SUM(AT9:AT15)</f>
        <v>2652.58792482142</v>
      </c>
      <c r="AU16" s="451" t="n">
        <f aca="false">SUM(AU9:AU15)</f>
        <v>2407.3758118174</v>
      </c>
      <c r="AV16" s="451" t="n">
        <f aca="false">SUM(AV9:AV15)</f>
        <v>2421.81594891673</v>
      </c>
      <c r="AW16" s="324"/>
      <c r="AX16" s="324"/>
      <c r="AY16" s="324"/>
      <c r="AZ16" s="324"/>
      <c r="BA16" s="324"/>
      <c r="BB16" s="324"/>
      <c r="BC16" s="324"/>
      <c r="BD16" s="324"/>
      <c r="BE16" s="324"/>
      <c r="BF16" s="324"/>
      <c r="BG16" s="324"/>
      <c r="BH16" s="324"/>
      <c r="BI16" s="324"/>
    </row>
    <row r="17" customFormat="false" ht="12.75" hidden="false" customHeight="false" outlineLevel="0" collapsed="false">
      <c r="G17" s="324"/>
      <c r="H17" s="324"/>
      <c r="I17" s="324"/>
      <c r="J17" s="324"/>
      <c r="K17" s="324"/>
      <c r="L17" s="324"/>
      <c r="M17" s="451"/>
      <c r="N17" s="693"/>
      <c r="O17" s="696"/>
      <c r="P17" s="696"/>
      <c r="Q17" s="689"/>
      <c r="R17" s="324"/>
      <c r="S17" s="324"/>
      <c r="T17" s="324"/>
      <c r="U17" s="324"/>
      <c r="V17" s="324"/>
      <c r="W17" s="324"/>
      <c r="X17" s="451"/>
      <c r="Y17" s="688"/>
      <c r="Z17" s="696"/>
      <c r="AA17" s="696"/>
      <c r="AB17" s="689"/>
      <c r="AP17" s="689"/>
      <c r="AQ17" s="324"/>
      <c r="AR17" s="451"/>
      <c r="AS17" s="451"/>
      <c r="AT17" s="324"/>
      <c r="AU17" s="324"/>
      <c r="AV17" s="324"/>
      <c r="AW17" s="324"/>
      <c r="AX17" s="324"/>
      <c r="AY17" s="324"/>
      <c r="AZ17" s="324"/>
      <c r="BA17" s="324"/>
      <c r="BB17" s="324"/>
      <c r="BC17" s="324"/>
      <c r="BD17" s="324"/>
      <c r="BE17" s="324"/>
      <c r="BF17" s="324"/>
      <c r="BG17" s="324"/>
      <c r="BH17" s="324"/>
      <c r="BI17" s="324"/>
    </row>
    <row r="18" customFormat="false" ht="12.75" hidden="false" customHeight="false" outlineLevel="0" collapsed="false">
      <c r="A18" s="0" t="s">
        <v>777</v>
      </c>
      <c r="G18" s="658" t="n">
        <v>232.383559</v>
      </c>
      <c r="H18" s="658" t="n">
        <v>265.043035</v>
      </c>
      <c r="I18" s="658" t="n">
        <v>766.989035</v>
      </c>
      <c r="J18" s="658" t="n">
        <v>1189.181471</v>
      </c>
      <c r="K18" s="658"/>
      <c r="L18" s="658" t="n">
        <v>448</v>
      </c>
      <c r="M18" s="596" t="n">
        <f aca="false">J18/J$21*M$21</f>
        <v>1448.83342051668</v>
      </c>
      <c r="N18" s="697" t="n">
        <v>0.02</v>
      </c>
      <c r="O18" s="324" t="n">
        <f aca="false">O37*O56/1000</f>
        <v>1231.78389719858</v>
      </c>
      <c r="P18" s="324" t="n">
        <f aca="false">P37*P56/1000</f>
        <v>1275.91255531571</v>
      </c>
      <c r="Q18" s="688"/>
      <c r="R18" s="658" t="n">
        <v>184.03905</v>
      </c>
      <c r="S18" s="658" t="n">
        <v>245.336764</v>
      </c>
      <c r="T18" s="658" t="n">
        <v>790.150058</v>
      </c>
      <c r="U18" s="658" t="n">
        <v>1201.994621</v>
      </c>
      <c r="V18" s="658" t="n">
        <v>331</v>
      </c>
      <c r="W18" s="658" t="n">
        <v>523</v>
      </c>
      <c r="X18" s="451" t="n">
        <f aca="false">U18/$U$21*$X$21</f>
        <v>1219.06634370871</v>
      </c>
      <c r="Y18" s="688" t="n">
        <v>0.02</v>
      </c>
      <c r="Z18" s="451" t="n">
        <f aca="false">Z37*Z56/1000</f>
        <v>1245.05607829733</v>
      </c>
      <c r="AA18" s="451" t="n">
        <f aca="false">AA37*AA56/1000</f>
        <v>1289.66021230233</v>
      </c>
      <c r="AB18" s="688"/>
      <c r="AP18" s="688"/>
      <c r="AQ18" s="658"/>
      <c r="AR18" s="451" t="n">
        <f aca="false">T18+I18+AQ18+AF18</f>
        <v>1557.139093</v>
      </c>
      <c r="AS18" s="451" t="n">
        <f aca="false">U18+J18+AG18</f>
        <v>2391.176092</v>
      </c>
      <c r="AT18" s="451" t="n">
        <f aca="false">X18+M18+AJ18</f>
        <v>2667.89976422539</v>
      </c>
      <c r="AU18" s="451" t="n">
        <f aca="false">O18+Z18+AL18</f>
        <v>2476.8399754959</v>
      </c>
      <c r="AV18" s="451" t="n">
        <f aca="false">P18+AA18+AM18</f>
        <v>2565.57276761804</v>
      </c>
      <c r="AW18" s="324"/>
      <c r="AX18" s="324"/>
      <c r="AY18" s="324"/>
      <c r="AZ18" s="324"/>
      <c r="BA18" s="324"/>
      <c r="BB18" s="324"/>
      <c r="BC18" s="324"/>
      <c r="BD18" s="324"/>
      <c r="BE18" s="324"/>
      <c r="BF18" s="324"/>
      <c r="BG18" s="324"/>
      <c r="BH18" s="324"/>
      <c r="BI18" s="324"/>
    </row>
    <row r="19" customFormat="false" ht="12.75" hidden="false" customHeight="false" outlineLevel="0" collapsed="false">
      <c r="A19" s="0" t="s">
        <v>778</v>
      </c>
      <c r="G19" s="658" t="n">
        <v>0</v>
      </c>
      <c r="H19" s="658" t="n">
        <v>-0.357081</v>
      </c>
      <c r="I19" s="658" t="n">
        <v>0.435775</v>
      </c>
      <c r="J19" s="658" t="n">
        <v>0</v>
      </c>
      <c r="K19" s="658"/>
      <c r="L19" s="658"/>
      <c r="M19" s="451" t="n">
        <f aca="false">J19/J$21*M$21</f>
        <v>0</v>
      </c>
      <c r="N19" s="698"/>
      <c r="O19" s="451" t="n">
        <v>0</v>
      </c>
      <c r="P19" s="658" t="n">
        <v>0</v>
      </c>
      <c r="Q19" s="688"/>
      <c r="R19" s="658" t="n">
        <v>7.02063</v>
      </c>
      <c r="S19" s="658" t="n">
        <v>-2.733909</v>
      </c>
      <c r="T19" s="658" t="n">
        <v>3.436072</v>
      </c>
      <c r="U19" s="658" t="n">
        <v>-4.464003</v>
      </c>
      <c r="V19" s="658"/>
      <c r="W19" s="658"/>
      <c r="X19" s="451" t="n">
        <f aca="false">U19/$U$21*$X$21</f>
        <v>-4.52740446624236</v>
      </c>
      <c r="Y19" s="688"/>
      <c r="Z19" s="451" t="n">
        <v>0</v>
      </c>
      <c r="AA19" s="658" t="n">
        <v>0</v>
      </c>
      <c r="AB19" s="688"/>
      <c r="AP19" s="688"/>
      <c r="AQ19" s="658"/>
      <c r="AR19" s="451" t="n">
        <f aca="false">T19+I19+AQ19+AF19</f>
        <v>3.871847</v>
      </c>
      <c r="AS19" s="451" t="n">
        <f aca="false">U19+J19+AG19</f>
        <v>-4.464003</v>
      </c>
      <c r="AT19" s="451" t="n">
        <f aca="false">X19+M19+AJ19</f>
        <v>-4.52740446624236</v>
      </c>
      <c r="AU19" s="451" t="n">
        <f aca="false">O19+Z19+AL19</f>
        <v>0</v>
      </c>
      <c r="AV19" s="451" t="n">
        <f aca="false">P19+AA19+AM19</f>
        <v>0</v>
      </c>
      <c r="AW19" s="324"/>
      <c r="AX19" s="324"/>
      <c r="AY19" s="324"/>
      <c r="AZ19" s="324"/>
      <c r="BA19" s="324"/>
      <c r="BB19" s="324"/>
      <c r="BC19" s="324"/>
      <c r="BD19" s="324"/>
      <c r="BE19" s="324"/>
      <c r="BF19" s="324"/>
      <c r="BG19" s="324"/>
      <c r="BH19" s="324"/>
      <c r="BI19" s="324"/>
    </row>
    <row r="20" customFormat="false" ht="15" hidden="false" customHeight="false" outlineLevel="0" collapsed="false">
      <c r="A20" s="0" t="s">
        <v>779</v>
      </c>
      <c r="G20" s="694" t="n">
        <v>10.712368</v>
      </c>
      <c r="H20" s="694" t="n">
        <v>12.375682</v>
      </c>
      <c r="I20" s="694" t="n">
        <v>16.708481</v>
      </c>
      <c r="J20" s="694" t="n">
        <v>14.482143</v>
      </c>
      <c r="K20" s="694"/>
      <c r="L20" s="694" t="n">
        <v>7</v>
      </c>
      <c r="M20" s="699" t="n">
        <f aca="false">J20/J$21*M$21</f>
        <v>17.6442479897181</v>
      </c>
      <c r="N20" s="697" t="n">
        <v>0.02</v>
      </c>
      <c r="O20" s="666" t="n">
        <f aca="false">J20+J20*N20</f>
        <v>14.77178586</v>
      </c>
      <c r="P20" s="666" t="n">
        <f aca="false">O20*(1+N20)</f>
        <v>15.0672215772</v>
      </c>
      <c r="Q20" s="695"/>
      <c r="R20" s="694" t="n">
        <v>21.565844</v>
      </c>
      <c r="S20" s="694" t="n">
        <v>21.729168</v>
      </c>
      <c r="T20" s="694" t="n">
        <v>31.866911</v>
      </c>
      <c r="U20" s="694" t="n">
        <v>36.166349</v>
      </c>
      <c r="V20" s="694" t="n">
        <v>19</v>
      </c>
      <c r="W20" s="694" t="n">
        <v>17</v>
      </c>
      <c r="X20" s="659" t="n">
        <f aca="false">U20/$U$21*$X$21</f>
        <v>36.6800134297132</v>
      </c>
      <c r="Y20" s="697" t="n">
        <v>0.02</v>
      </c>
      <c r="Z20" s="666" t="n">
        <f aca="false">U20+U20*Y20</f>
        <v>36.88967598</v>
      </c>
      <c r="AA20" s="666" t="n">
        <f aca="false">Z20*(1+Y20)</f>
        <v>37.6274694996</v>
      </c>
      <c r="AB20" s="688"/>
      <c r="AP20" s="688"/>
      <c r="AQ20" s="658"/>
      <c r="AR20" s="659" t="n">
        <f aca="false">T20+I20+AQ20+AF20</f>
        <v>48.575392</v>
      </c>
      <c r="AS20" s="659" t="n">
        <f aca="false">U20+J20+AG20</f>
        <v>50.648492</v>
      </c>
      <c r="AT20" s="659" t="n">
        <f aca="false">X20+M20+AJ20</f>
        <v>54.3242614194313</v>
      </c>
      <c r="AU20" s="660" t="n">
        <f aca="false">O20+Z20+AL20</f>
        <v>51.66146184</v>
      </c>
      <c r="AV20" s="660" t="n">
        <f aca="false">P20+AA20+AM20</f>
        <v>52.6946910768</v>
      </c>
      <c r="AW20" s="324"/>
      <c r="AX20" s="324"/>
      <c r="AY20" s="324"/>
      <c r="AZ20" s="324"/>
      <c r="BA20" s="324"/>
      <c r="BB20" s="324"/>
      <c r="BC20" s="324"/>
      <c r="BD20" s="324"/>
      <c r="BE20" s="324"/>
      <c r="BF20" s="324"/>
      <c r="BG20" s="324"/>
      <c r="BH20" s="324"/>
      <c r="BI20" s="324"/>
    </row>
    <row r="21" customFormat="false" ht="12.75" hidden="false" customHeight="false" outlineLevel="0" collapsed="false">
      <c r="B21" s="0" t="s">
        <v>780</v>
      </c>
      <c r="G21" s="324" t="n">
        <f aca="false">SUM(G18:G20)</f>
        <v>243.095927</v>
      </c>
      <c r="H21" s="324" t="n">
        <f aca="false">SUM(H18:H20)</f>
        <v>277.061636</v>
      </c>
      <c r="I21" s="324" t="n">
        <f aca="false">SUM(I18:I20)</f>
        <v>784.133291</v>
      </c>
      <c r="J21" s="324" t="n">
        <f aca="false">SUM(J18:J20)</f>
        <v>1203.663614</v>
      </c>
      <c r="K21" s="324"/>
      <c r="L21" s="324"/>
      <c r="M21" s="451" t="n">
        <f aca="false">J21/J23*M25</f>
        <v>1466.4776685064</v>
      </c>
      <c r="N21" s="700"/>
      <c r="O21" s="324" t="n">
        <f aca="false">SUM(O18:O20)</f>
        <v>1246.55568305858</v>
      </c>
      <c r="P21" s="324" t="n">
        <f aca="false">SUM(P18:P20)</f>
        <v>1290.97977689291</v>
      </c>
      <c r="Q21" s="689"/>
      <c r="R21" s="324" t="n">
        <f aca="false">SUM(R18:R20)</f>
        <v>212.625524</v>
      </c>
      <c r="S21" s="324" t="n">
        <f aca="false">SUM(S18:S20)</f>
        <v>264.332023</v>
      </c>
      <c r="T21" s="324" t="n">
        <f aca="false">SUM(T18:T20)</f>
        <v>825.453041</v>
      </c>
      <c r="U21" s="324" t="n">
        <f aca="false">SUM(U18:U20)</f>
        <v>1233.696967</v>
      </c>
      <c r="V21" s="324"/>
      <c r="W21" s="324"/>
      <c r="X21" s="451" t="n">
        <f aca="false">U21/U23*X25</f>
        <v>1251.21895267218</v>
      </c>
      <c r="Y21" s="688"/>
      <c r="Z21" s="324" t="n">
        <f aca="false">SUM(Z18:Z20)</f>
        <v>1281.94575427733</v>
      </c>
      <c r="AA21" s="324" t="n">
        <f aca="false">SUM(AA18:AA20)</f>
        <v>1327.28768180193</v>
      </c>
      <c r="AB21" s="689"/>
      <c r="AP21" s="689"/>
      <c r="AQ21" s="324"/>
      <c r="AR21" s="451" t="n">
        <f aca="false">SUM(AR18:AR20)</f>
        <v>1609.586332</v>
      </c>
      <c r="AS21" s="451" t="n">
        <f aca="false">SUM(AS18:AS20)</f>
        <v>2437.360581</v>
      </c>
      <c r="AT21" s="451" t="n">
        <f aca="false">SUM(AT18:AT20)</f>
        <v>2717.69662117858</v>
      </c>
      <c r="AU21" s="451" t="n">
        <f aca="false">SUM(AU18:AU20)</f>
        <v>2528.5014373359</v>
      </c>
      <c r="AV21" s="451" t="n">
        <f aca="false">SUM(AV18:AV20)</f>
        <v>2618.26745869484</v>
      </c>
      <c r="AW21" s="324"/>
      <c r="AX21" s="324"/>
      <c r="AY21" s="324"/>
      <c r="AZ21" s="324"/>
      <c r="BA21" s="324"/>
      <c r="BB21" s="324"/>
      <c r="BC21" s="324"/>
      <c r="BD21" s="324"/>
      <c r="BE21" s="324"/>
      <c r="BF21" s="324"/>
      <c r="BG21" s="324"/>
      <c r="BH21" s="324"/>
      <c r="BI21" s="324"/>
    </row>
    <row r="22" customFormat="false" ht="12.75" hidden="false" customHeight="false" outlineLevel="0" collapsed="false">
      <c r="G22" s="324"/>
      <c r="H22" s="324"/>
      <c r="I22" s="324"/>
      <c r="J22" s="324"/>
      <c r="K22" s="324"/>
      <c r="L22" s="324"/>
      <c r="M22" s="451"/>
      <c r="N22" s="700"/>
      <c r="O22" s="701"/>
      <c r="P22" s="324"/>
      <c r="Q22" s="689"/>
      <c r="R22" s="324"/>
      <c r="S22" s="324"/>
      <c r="T22" s="324"/>
      <c r="U22" s="324"/>
      <c r="V22" s="324"/>
      <c r="W22" s="324"/>
      <c r="X22" s="451"/>
      <c r="Y22" s="688"/>
      <c r="Z22" s="701"/>
      <c r="AA22" s="324"/>
      <c r="AB22" s="689"/>
      <c r="AP22" s="689"/>
      <c r="AQ22" s="324"/>
      <c r="AR22" s="451"/>
      <c r="AS22" s="324"/>
      <c r="AT22" s="324"/>
      <c r="AU22" s="324"/>
    </row>
    <row r="23" customFormat="false" ht="12.75" hidden="false" customHeight="false" outlineLevel="0" collapsed="false">
      <c r="B23" s="0" t="s">
        <v>781</v>
      </c>
      <c r="G23" s="324" t="n">
        <f aca="false">G21+G16</f>
        <v>1393.633233</v>
      </c>
      <c r="H23" s="324" t="n">
        <f aca="false">H21+H16</f>
        <v>1455.718076</v>
      </c>
      <c r="I23" s="324" t="n">
        <f aca="false">I21+I16</f>
        <v>1908.131949</v>
      </c>
      <c r="J23" s="324" t="n">
        <f aca="false">J21+J16</f>
        <v>2407.459546</v>
      </c>
      <c r="K23" s="324"/>
      <c r="L23" s="324"/>
      <c r="M23" s="451"/>
      <c r="N23" s="700"/>
      <c r="O23" s="701"/>
      <c r="P23" s="324"/>
      <c r="Q23" s="689"/>
      <c r="R23" s="324" t="n">
        <f aca="false">R21+R16</f>
        <v>1248.03518</v>
      </c>
      <c r="S23" s="324" t="n">
        <f aca="false">S21+S16</f>
        <v>1331.962236</v>
      </c>
      <c r="T23" s="324" t="n">
        <f aca="false">T21+T16</f>
        <v>1958.468549</v>
      </c>
      <c r="U23" s="324" t="n">
        <f aca="false">U21+U16</f>
        <v>2403.038064</v>
      </c>
      <c r="V23" s="324"/>
      <c r="W23" s="324"/>
      <c r="X23" s="451"/>
      <c r="Y23" s="688"/>
      <c r="Z23" s="701"/>
      <c r="AA23" s="324"/>
      <c r="AB23" s="689"/>
      <c r="AP23" s="689"/>
      <c r="AQ23" s="324"/>
      <c r="AR23" s="451" t="n">
        <f aca="false">T23+I23+AQ23+AF23</f>
        <v>3866.600498</v>
      </c>
      <c r="AS23" s="324" t="n">
        <f aca="false">U23+J23+AG23</f>
        <v>4810.49761</v>
      </c>
      <c r="AT23" s="324" t="n">
        <f aca="false">X23+M23+AJ23</f>
        <v>0</v>
      </c>
      <c r="AU23" s="324" t="n">
        <f aca="false">O23+Z23+AL23</f>
        <v>0</v>
      </c>
      <c r="AV23" s="0" t="n">
        <f aca="false">P23+AA23+AM23</f>
        <v>0</v>
      </c>
    </row>
    <row r="24" customFormat="false" ht="12.75" hidden="false" customHeight="false" outlineLevel="0" collapsed="false">
      <c r="B24" s="0" t="s">
        <v>782</v>
      </c>
      <c r="G24" s="324" t="n">
        <v>43.5897669999997</v>
      </c>
      <c r="H24" s="324" t="n">
        <v>46.2899239999999</v>
      </c>
      <c r="I24" s="324" t="n">
        <v>48.124051</v>
      </c>
      <c r="J24" s="324" t="n">
        <v>45.232454</v>
      </c>
      <c r="K24" s="324"/>
      <c r="L24" s="324"/>
      <c r="M24" s="451"/>
      <c r="N24" s="700"/>
      <c r="O24" s="701" t="n">
        <f aca="false">J24</f>
        <v>45.232454</v>
      </c>
      <c r="P24" s="324" t="n">
        <f aca="false">O24</f>
        <v>45.232454</v>
      </c>
      <c r="Q24" s="689"/>
      <c r="R24" s="324" t="n">
        <f aca="false">R25-R23</f>
        <v>-0.000180000000000291</v>
      </c>
      <c r="S24" s="324" t="n">
        <f aca="false">S25-S23</f>
        <v>-0.000235999999858905</v>
      </c>
      <c r="T24" s="324" t="n">
        <f aca="false">T25-T23</f>
        <v>1.92645100000004</v>
      </c>
      <c r="U24" s="324" t="n">
        <f aca="false">U25-U23</f>
        <v>-6.40000002931629E-005</v>
      </c>
      <c r="V24" s="324"/>
      <c r="W24" s="324"/>
      <c r="X24" s="451"/>
      <c r="Y24" s="688"/>
      <c r="Z24" s="701"/>
      <c r="AA24" s="324"/>
      <c r="AB24" s="689"/>
      <c r="AP24" s="689"/>
      <c r="AQ24" s="324"/>
      <c r="AR24" s="451" t="n">
        <f aca="false">T24+I24+AQ24+AF24</f>
        <v>50.0505020000001</v>
      </c>
      <c r="AS24" s="324" t="n">
        <f aca="false">U24+J24+AG24</f>
        <v>45.2323899999997</v>
      </c>
      <c r="AT24" s="324" t="n">
        <f aca="false">X24+M24+AJ24</f>
        <v>0</v>
      </c>
      <c r="AU24" s="324" t="n">
        <f aca="false">O24+Z24+AL24</f>
        <v>45.232454</v>
      </c>
      <c r="AV24" s="0" t="n">
        <f aca="false">P24+AA24+AM24</f>
        <v>45.232454</v>
      </c>
    </row>
    <row r="25" customFormat="false" ht="13.5" hidden="false" customHeight="false" outlineLevel="0" collapsed="false">
      <c r="C25" s="0" t="s">
        <v>783</v>
      </c>
      <c r="G25" s="702" t="n">
        <f aca="false">G23</f>
        <v>1393.633233</v>
      </c>
      <c r="H25" s="702" t="n">
        <f aca="false">H23</f>
        <v>1455.718076</v>
      </c>
      <c r="I25" s="702" t="n">
        <f aca="false">I23</f>
        <v>1908.131949</v>
      </c>
      <c r="J25" s="702" t="n">
        <f aca="false">J23</f>
        <v>2407.459546</v>
      </c>
      <c r="K25" s="702" t="n">
        <v>1658.604</v>
      </c>
      <c r="L25" s="702" t="n">
        <v>1132.947</v>
      </c>
      <c r="M25" s="703" t="n">
        <f aca="false">J25+K25-L25</f>
        <v>2933.116546</v>
      </c>
      <c r="N25" s="704"/>
      <c r="O25" s="663" t="n">
        <f aca="false">O21+O16+O24</f>
        <v>2502.88889206937</v>
      </c>
      <c r="P25" s="663" t="n">
        <f aca="false">P21+P16+P24</f>
        <v>2546.86060461836</v>
      </c>
      <c r="Q25" s="689"/>
      <c r="R25" s="702" t="n">
        <v>1248.035</v>
      </c>
      <c r="S25" s="702" t="n">
        <v>1331.962</v>
      </c>
      <c r="T25" s="702" t="n">
        <v>1960.395</v>
      </c>
      <c r="U25" s="702" t="n">
        <v>2403.038</v>
      </c>
      <c r="V25" s="702" t="n">
        <v>945.951</v>
      </c>
      <c r="W25" s="702" t="n">
        <v>1103.655</v>
      </c>
      <c r="X25" s="662" t="n">
        <f aca="false">+U25+217.349-183.219</f>
        <v>2437.168</v>
      </c>
      <c r="Y25" s="705"/>
      <c r="Z25" s="663" t="n">
        <f aca="false">Z21+Z16</f>
        <v>2478.22081108393</v>
      </c>
      <c r="AA25" s="663" t="n">
        <f aca="false">AA21+AA16</f>
        <v>2538.45525699321</v>
      </c>
      <c r="AB25" s="689"/>
      <c r="AP25" s="689"/>
      <c r="AQ25" s="661"/>
      <c r="AR25" s="662" t="n">
        <f aca="false">T25+I25+AQ25+AF25</f>
        <v>3868.526949</v>
      </c>
      <c r="AS25" s="662" t="n">
        <f aca="false">U25+J25+AG25</f>
        <v>4810.497546</v>
      </c>
      <c r="AT25" s="662" t="n">
        <f aca="false">X25+M25+AJ25</f>
        <v>5370.284546</v>
      </c>
      <c r="AU25" s="662" t="n">
        <f aca="false">O25+Z25+AL25</f>
        <v>4981.1097031533</v>
      </c>
      <c r="AV25" s="662" t="n">
        <f aca="false">P25+AA25+AM25</f>
        <v>5085.31586161157</v>
      </c>
      <c r="AW25" s="661"/>
      <c r="AX25" s="661"/>
      <c r="AY25" s="661"/>
      <c r="AZ25" s="661"/>
      <c r="BA25" s="661"/>
      <c r="BB25" s="661"/>
      <c r="BC25" s="661"/>
      <c r="BD25" s="661"/>
      <c r="BE25" s="661"/>
    </row>
    <row r="26" customFormat="false" ht="13.5" hidden="false" customHeight="false" outlineLevel="0" collapsed="false">
      <c r="G26" s="658"/>
      <c r="H26" s="658"/>
      <c r="I26" s="658"/>
      <c r="J26" s="706"/>
      <c r="K26" s="658"/>
      <c r="L26" s="658"/>
      <c r="M26" s="451"/>
      <c r="N26" s="700"/>
      <c r="O26" s="451"/>
      <c r="P26" s="658"/>
      <c r="Q26" s="688"/>
      <c r="R26" s="658"/>
      <c r="S26" s="658"/>
      <c r="T26" s="658"/>
      <c r="U26" s="658"/>
      <c r="V26" s="658"/>
      <c r="W26" s="658"/>
      <c r="X26" s="451"/>
      <c r="Y26" s="688"/>
      <c r="Z26" s="451"/>
      <c r="AA26" s="658"/>
      <c r="AB26" s="688"/>
      <c r="AP26" s="688"/>
      <c r="AQ26" s="658"/>
      <c r="AR26" s="451"/>
      <c r="AS26" s="451"/>
      <c r="AT26" s="451"/>
    </row>
    <row r="27" customFormat="false" ht="12.75" hidden="false" customHeight="false" outlineLevel="0" collapsed="false">
      <c r="A27" s="28" t="s">
        <v>784</v>
      </c>
      <c r="G27" s="658"/>
      <c r="H27" s="658"/>
      <c r="I27" s="658"/>
      <c r="J27" s="658"/>
      <c r="K27" s="658"/>
      <c r="L27" s="658"/>
      <c r="M27" s="451"/>
      <c r="N27" s="707"/>
      <c r="O27" s="451"/>
      <c r="P27" s="658"/>
      <c r="Q27" s="688"/>
      <c r="R27" s="658"/>
      <c r="S27" s="658"/>
      <c r="T27" s="658"/>
      <c r="U27" s="658"/>
      <c r="V27" s="658"/>
      <c r="W27" s="658"/>
      <c r="X27" s="451"/>
      <c r="Y27" s="688"/>
      <c r="Z27" s="451"/>
      <c r="AA27" s="451"/>
      <c r="AB27" s="688"/>
      <c r="AP27" s="688"/>
      <c r="AQ27" s="658"/>
      <c r="AR27" s="451"/>
      <c r="AS27" s="451"/>
      <c r="AT27" s="451"/>
    </row>
    <row r="28" customFormat="false" ht="12.75" hidden="false" customHeight="false" outlineLevel="0" collapsed="false">
      <c r="A28" s="0" t="s">
        <v>770</v>
      </c>
      <c r="G28" s="658" t="n">
        <v>6118.381</v>
      </c>
      <c r="H28" s="658" t="n">
        <v>6353.457</v>
      </c>
      <c r="I28" s="658" t="n">
        <v>5903.188</v>
      </c>
      <c r="J28" s="658" t="n">
        <v>6342.731</v>
      </c>
      <c r="K28" s="658"/>
      <c r="L28" s="658"/>
      <c r="M28" s="451" t="n">
        <f aca="false">J28/J$35*M$35</f>
        <v>2743.46292333835</v>
      </c>
      <c r="N28" s="707" t="n">
        <f aca="false">((H28/G28-1)*100+(I28/H28-1)*100+(J28/I28-1)*100)/3/100</f>
        <v>0.0140033113914059</v>
      </c>
      <c r="O28" s="665" t="n">
        <f aca="false">J28+J28*N28</f>
        <v>6431.55023726492</v>
      </c>
      <c r="P28" s="665" t="n">
        <f aca="false">O28*(1+N28)</f>
        <v>6521.61323796682</v>
      </c>
      <c r="Q28" s="688"/>
      <c r="R28" s="658" t="n">
        <v>7094.008</v>
      </c>
      <c r="S28" s="658" t="n">
        <v>7092.679</v>
      </c>
      <c r="T28" s="658" t="n">
        <v>7055.37</v>
      </c>
      <c r="U28" s="658" t="n">
        <v>7206.474</v>
      </c>
      <c r="V28" s="658"/>
      <c r="W28" s="658"/>
      <c r="X28" s="451" t="n">
        <f aca="false">X9/X42*1000</f>
        <v>7340.21241448349</v>
      </c>
      <c r="Y28" s="707" t="n">
        <f aca="false">((S28/R28-1)*100+(T28/S28-1)*100+(U28/T28-1)*100)/3/100</f>
        <v>0.00532310810839879</v>
      </c>
      <c r="Z28" s="665" t="n">
        <f aca="false">U28+U28*Y28</f>
        <v>7244.83484018237</v>
      </c>
      <c r="AA28" s="665" t="n">
        <f aca="false">Z28*(1+Y28)</f>
        <v>7283.39987926415</v>
      </c>
      <c r="AB28" s="688"/>
      <c r="AP28" s="688"/>
      <c r="AQ28" s="658"/>
      <c r="AR28" s="451" t="n">
        <f aca="false">T28+I28+AQ28+AF28</f>
        <v>12958.558</v>
      </c>
      <c r="AS28" s="451" t="n">
        <f aca="false">U28+J28+AG28</f>
        <v>13549.205</v>
      </c>
      <c r="AT28" s="451" t="n">
        <f aca="false">X28+M28+AJ28</f>
        <v>10083.6753378218</v>
      </c>
      <c r="AU28" s="451" t="n">
        <f aca="false">O28+Z28+AL28</f>
        <v>13676.3850774473</v>
      </c>
      <c r="AV28" s="451" t="n">
        <f aca="false">P28+AA28+AM28</f>
        <v>13805.013117231</v>
      </c>
      <c r="AW28" s="324"/>
      <c r="AX28" s="324"/>
      <c r="AY28" s="324"/>
      <c r="AZ28" s="324"/>
      <c r="BA28" s="324"/>
      <c r="BB28" s="324"/>
      <c r="BC28" s="324"/>
      <c r="BD28" s="324"/>
      <c r="BE28" s="324"/>
      <c r="BF28" s="324"/>
      <c r="BG28" s="324"/>
      <c r="BH28" s="324"/>
    </row>
    <row r="29" customFormat="false" ht="12.75" hidden="false" customHeight="false" outlineLevel="0" collapsed="false">
      <c r="A29" s="0" t="s">
        <v>785</v>
      </c>
      <c r="G29" s="658" t="n">
        <v>4920.189</v>
      </c>
      <c r="H29" s="658" t="n">
        <v>5023.98</v>
      </c>
      <c r="I29" s="658" t="n">
        <v>5105.805</v>
      </c>
      <c r="J29" s="658" t="n">
        <v>5279.549</v>
      </c>
      <c r="K29" s="658"/>
      <c r="L29" s="658"/>
      <c r="M29" s="451" t="n">
        <f aca="false">J29/J$35*M$35</f>
        <v>2283.5978592578</v>
      </c>
      <c r="N29" s="707" t="n">
        <f aca="false">((H29/G29-1)*100+(I29/H29-1)*100+(J29/I29-1)*100)/3/100</f>
        <v>0.0238035092435316</v>
      </c>
      <c r="O29" s="665" t="n">
        <f aca="false">J29+J29*N29</f>
        <v>5405.22079342318</v>
      </c>
      <c r="P29" s="665" t="n">
        <f aca="false">O29*(1+N29)</f>
        <v>5533.88401654276</v>
      </c>
      <c r="Q29" s="688"/>
      <c r="R29" s="658" t="n">
        <v>5860.005</v>
      </c>
      <c r="S29" s="658" t="n">
        <v>5880.806</v>
      </c>
      <c r="T29" s="658" t="n">
        <v>5523.22</v>
      </c>
      <c r="U29" s="658" t="n">
        <v>6264.132</v>
      </c>
      <c r="V29" s="658"/>
      <c r="W29" s="658"/>
      <c r="X29" s="451" t="n">
        <v>0</v>
      </c>
      <c r="Y29" s="688" t="n">
        <f aca="false">((S29/R29-1)*100+(T29/S29-1)*100+(U29/T29-1)*100)/3/100</f>
        <v>0.0256296607357663</v>
      </c>
      <c r="Z29" s="665" t="n">
        <f aca="false">U29+U29*Y29</f>
        <v>6424.67957796406</v>
      </c>
      <c r="AA29" s="665" t="n">
        <f aca="false">Z29*(1+Y29)</f>
        <v>6589.34193588328</v>
      </c>
      <c r="AB29" s="688"/>
      <c r="AP29" s="688"/>
      <c r="AQ29" s="658"/>
      <c r="AR29" s="451" t="n">
        <f aca="false">T29+I29+AQ29+AF29</f>
        <v>10629.025</v>
      </c>
      <c r="AS29" s="451" t="n">
        <f aca="false">U29+J29+AG29</f>
        <v>11543.681</v>
      </c>
      <c r="AT29" s="451" t="n">
        <f aca="false">X29+M29+AJ29</f>
        <v>2283.5978592578</v>
      </c>
      <c r="AU29" s="451" t="n">
        <f aca="false">O29+Z29+AL29</f>
        <v>11829.9003713872</v>
      </c>
      <c r="AV29" s="451" t="n">
        <f aca="false">P29+AA29+AM29</f>
        <v>12123.225952426</v>
      </c>
      <c r="AW29" s="324"/>
      <c r="AX29" s="324"/>
      <c r="AY29" s="324"/>
      <c r="AZ29" s="324"/>
      <c r="BA29" s="324"/>
      <c r="BB29" s="324"/>
      <c r="BC29" s="324"/>
      <c r="BD29" s="324"/>
      <c r="BE29" s="324"/>
      <c r="BF29" s="324"/>
      <c r="BG29" s="324"/>
      <c r="BH29" s="324"/>
    </row>
    <row r="30" customFormat="false" ht="12.75" hidden="false" customHeight="false" outlineLevel="0" collapsed="false">
      <c r="A30" s="0" t="s">
        <v>772</v>
      </c>
      <c r="G30" s="658" t="n">
        <v>5666.106</v>
      </c>
      <c r="H30" s="658" t="n">
        <v>5841.936</v>
      </c>
      <c r="I30" s="658" t="n">
        <v>6099.478</v>
      </c>
      <c r="J30" s="658" t="n">
        <v>6254.528</v>
      </c>
      <c r="K30" s="658"/>
      <c r="L30" s="658"/>
      <c r="M30" s="451" t="n">
        <f aca="false">J30/J$35*M$35</f>
        <v>2705.3119028667</v>
      </c>
      <c r="N30" s="707" t="n">
        <f aca="false">((H30/G30-1)*100+(I30/H30-1)*100+(J30/I30-1)*100)/3/100</f>
        <v>0.0335123816639877</v>
      </c>
      <c r="O30" s="665" t="n">
        <f aca="false">J30+J30*N30</f>
        <v>6464.1321294641</v>
      </c>
      <c r="P30" s="665" t="n">
        <f aca="false">O30*(1+N30)</f>
        <v>6680.76059251315</v>
      </c>
      <c r="Q30" s="688"/>
      <c r="R30" s="658" t="n">
        <v>9692.635</v>
      </c>
      <c r="S30" s="658" t="n">
        <v>10008.447</v>
      </c>
      <c r="T30" s="658" t="n">
        <v>10656.492</v>
      </c>
      <c r="U30" s="658" t="n">
        <v>10789.469</v>
      </c>
      <c r="V30" s="658"/>
      <c r="W30" s="658"/>
      <c r="X30" s="451" t="n">
        <f aca="false">X11/X46*1000</f>
        <v>10988.3503910899</v>
      </c>
      <c r="Y30" s="707" t="n">
        <f aca="false">((S30/R30-1)*100+(T30/S30-1)*100+(U30/T30-1)*100)/3/100</f>
        <v>0.036603659993652</v>
      </c>
      <c r="Z30" s="665" t="n">
        <f aca="false">U30+U30*Y30</f>
        <v>11184.403054788</v>
      </c>
      <c r="AA30" s="665" t="n">
        <f aca="false">Z30*(1+Y30)</f>
        <v>11593.7931414375</v>
      </c>
      <c r="AB30" s="688"/>
      <c r="AP30" s="688"/>
      <c r="AQ30" s="658"/>
      <c r="AR30" s="451" t="n">
        <f aca="false">T30+I30+AQ30+AF30</f>
        <v>16755.97</v>
      </c>
      <c r="AS30" s="451" t="n">
        <f aca="false">U30+J30+AG30</f>
        <v>17043.997</v>
      </c>
      <c r="AT30" s="451" t="n">
        <f aca="false">X30+M30+AJ30</f>
        <v>13693.6622939566</v>
      </c>
      <c r="AU30" s="451" t="n">
        <f aca="false">O30+Z30+AL30</f>
        <v>17648.5351842522</v>
      </c>
      <c r="AV30" s="451" t="n">
        <f aca="false">P30+AA30+AM30</f>
        <v>18274.5537339506</v>
      </c>
      <c r="AW30" s="324"/>
      <c r="AX30" s="324"/>
      <c r="AY30" s="324"/>
      <c r="AZ30" s="324"/>
      <c r="BA30" s="324"/>
      <c r="BB30" s="324"/>
      <c r="BC30" s="324"/>
      <c r="BD30" s="324"/>
      <c r="BE30" s="324"/>
      <c r="BF30" s="324"/>
      <c r="BG30" s="324"/>
      <c r="BH30" s="324"/>
    </row>
    <row r="31" customFormat="false" ht="15" hidden="false" customHeight="false" outlineLevel="0" collapsed="false">
      <c r="A31" s="0" t="s">
        <v>786</v>
      </c>
      <c r="G31" s="708" t="n">
        <v>84.724</v>
      </c>
      <c r="H31" s="708" t="n">
        <v>85.421</v>
      </c>
      <c r="I31" s="708" t="n">
        <v>86.664</v>
      </c>
      <c r="J31" s="708" t="n">
        <v>87.959</v>
      </c>
      <c r="K31" s="708"/>
      <c r="L31" s="708"/>
      <c r="M31" s="671" t="n">
        <f aca="false">J31/J$35*M$35</f>
        <v>38.0454815558028</v>
      </c>
      <c r="N31" s="707" t="n">
        <f aca="false">((H31/G31-1)*100+(I31/H31-1)*100+(J31/I31-1)*100)/3/100</f>
        <v>0.012573645663756</v>
      </c>
      <c r="O31" s="665" t="n">
        <f aca="false">J31+J31*N31</f>
        <v>89.0649652989383</v>
      </c>
      <c r="P31" s="665" t="n">
        <f aca="false">O31*(1+N31)</f>
        <v>90.1848366136619</v>
      </c>
      <c r="Q31" s="695"/>
      <c r="R31" s="708" t="n">
        <v>62.613</v>
      </c>
      <c r="S31" s="708" t="n">
        <v>63.366</v>
      </c>
      <c r="T31" s="708" t="n">
        <v>64.357</v>
      </c>
      <c r="U31" s="708" t="n">
        <v>64.836</v>
      </c>
      <c r="V31" s="708"/>
      <c r="W31" s="708"/>
      <c r="X31" s="671" t="n">
        <f aca="false">X12/X48*1000</f>
        <v>66.0311166338864</v>
      </c>
      <c r="Y31" s="707" t="n">
        <f aca="false">((S31/R31-1)*100+(T31/S31-1)*100+(U31/T31-1)*100)/3/100</f>
        <v>0.0117028053902578</v>
      </c>
      <c r="Z31" s="665" t="n">
        <f aca="false">U31+U31*Y31</f>
        <v>65.5947630902828</v>
      </c>
      <c r="AA31" s="665" t="n">
        <f aca="false">Z31*(1+Y31)</f>
        <v>66.3624058373484</v>
      </c>
      <c r="AB31" s="695"/>
      <c r="AP31" s="695"/>
      <c r="AQ31" s="694"/>
      <c r="AR31" s="671" t="n">
        <f aca="false">T31+I31+AQ31+AF31</f>
        <v>151.021</v>
      </c>
      <c r="AS31" s="451" t="n">
        <f aca="false">U31+J31+AG31</f>
        <v>152.795</v>
      </c>
      <c r="AT31" s="451" t="n">
        <f aca="false">X31+M31+AJ31</f>
        <v>104.076598189689</v>
      </c>
      <c r="AU31" s="451" t="n">
        <f aca="false">O31+Z31+AL31</f>
        <v>154.659728389221</v>
      </c>
      <c r="AV31" s="451" t="n">
        <f aca="false">P31+AA31+AM31</f>
        <v>156.54724245101</v>
      </c>
      <c r="AW31" s="324"/>
      <c r="AX31" s="324"/>
      <c r="AY31" s="324"/>
      <c r="AZ31" s="324"/>
      <c r="BA31" s="324"/>
      <c r="BB31" s="324"/>
      <c r="BC31" s="324"/>
      <c r="BD31" s="324"/>
      <c r="BE31" s="324"/>
      <c r="BF31" s="324"/>
      <c r="BG31" s="324"/>
      <c r="BH31" s="324"/>
    </row>
    <row r="32" customFormat="false" ht="12.75" hidden="false" customHeight="false" outlineLevel="0" collapsed="false">
      <c r="A32" s="0" t="s">
        <v>787</v>
      </c>
      <c r="G32" s="658" t="n">
        <v>1285.202</v>
      </c>
      <c r="H32" s="658" t="n">
        <v>1291.242</v>
      </c>
      <c r="I32" s="658" t="n">
        <v>1304.283</v>
      </c>
      <c r="J32" s="658" t="n">
        <v>1295.407</v>
      </c>
      <c r="K32" s="658"/>
      <c r="L32" s="658"/>
      <c r="M32" s="671" t="n">
        <f aca="false">J32/J$35*M$35</f>
        <v>560.310862171668</v>
      </c>
      <c r="N32" s="707" t="n">
        <f aca="false">((H32/G32-1)*100+(I32/H32-1)*100+(J32/I32-1)*100)/3/100</f>
        <v>0.00266465243910648</v>
      </c>
      <c r="O32" s="665" t="n">
        <f aca="false">J32+J32*N32</f>
        <v>1298.85880942219</v>
      </c>
      <c r="P32" s="665" t="n">
        <f aca="false">O32*(1+N32)</f>
        <v>1302.31981671677</v>
      </c>
      <c r="Q32" s="689"/>
      <c r="R32" s="658" t="n">
        <v>0.421</v>
      </c>
      <c r="S32" s="658" t="n">
        <v>0.691</v>
      </c>
      <c r="T32" s="658" t="n">
        <v>0.579</v>
      </c>
      <c r="U32" s="658" t="n">
        <v>0.637</v>
      </c>
      <c r="V32" s="658"/>
      <c r="W32" s="658"/>
      <c r="X32" s="451" t="n">
        <f aca="false">X13/X50*1000</f>
        <v>0.648741768396966</v>
      </c>
      <c r="Y32" s="707" t="n">
        <f aca="false">((S32/R32-1)*100+(T32/S32-1)*100+(U32/T32-1)*100)/3/100</f>
        <v>0.193139647172764</v>
      </c>
      <c r="Z32" s="665" t="n">
        <f aca="false">U32+U32*Y32</f>
        <v>0.760029955249051</v>
      </c>
      <c r="AA32" s="665" t="n">
        <f aca="false">Z32*(1+Y32)</f>
        <v>0.906821872646584</v>
      </c>
      <c r="AB32" s="689"/>
      <c r="AP32" s="689"/>
      <c r="AQ32" s="324"/>
      <c r="AR32" s="451" t="n">
        <f aca="false">T32+I32+AQ32+AF32</f>
        <v>1304.862</v>
      </c>
      <c r="AS32" s="451" t="n">
        <f aca="false">U32+J32+AG32</f>
        <v>1296.044</v>
      </c>
      <c r="AT32" s="451" t="n">
        <f aca="false">X32+M32+AJ32</f>
        <v>560.959603940065</v>
      </c>
      <c r="AU32" s="451" t="n">
        <f aca="false">O32+Z32+AL32</f>
        <v>1299.61883937743</v>
      </c>
      <c r="AV32" s="451" t="n">
        <f aca="false">P32+AA32+AM32</f>
        <v>1303.22663858941</v>
      </c>
      <c r="AW32" s="324"/>
      <c r="AX32" s="324"/>
      <c r="AY32" s="324"/>
      <c r="AZ32" s="324"/>
      <c r="BA32" s="324"/>
      <c r="BB32" s="324"/>
      <c r="BC32" s="324"/>
      <c r="BD32" s="324"/>
      <c r="BE32" s="324"/>
      <c r="BF32" s="324"/>
      <c r="BG32" s="324"/>
      <c r="BH32" s="324"/>
    </row>
    <row r="33" customFormat="false" ht="12.75" hidden="false" customHeight="false" outlineLevel="0" collapsed="false">
      <c r="A33" s="0" t="s">
        <v>788</v>
      </c>
      <c r="G33" s="658" t="n">
        <v>9.29</v>
      </c>
      <c r="H33" s="658" t="n">
        <v>9.32</v>
      </c>
      <c r="I33" s="658" t="n">
        <v>9.133</v>
      </c>
      <c r="J33" s="658" t="n">
        <v>8.027</v>
      </c>
      <c r="K33" s="658"/>
      <c r="L33" s="658"/>
      <c r="M33" s="451" t="n">
        <f aca="false">J33/J$35*M$35</f>
        <v>3.47197080967756</v>
      </c>
      <c r="N33" s="707" t="n">
        <f aca="false">((H33/G33-1)*100+(I33/H33-1)*100+(J33/I33-1)*100)/3/100</f>
        <v>-0.0459781363606012</v>
      </c>
      <c r="O33" s="665" t="n">
        <f aca="false">J33*(1+N33)</f>
        <v>7.65793349943345</v>
      </c>
      <c r="P33" s="665" t="n">
        <f aca="false">O33*(1+N33)</f>
        <v>7.30583598875609</v>
      </c>
      <c r="Q33" s="689"/>
      <c r="R33" s="658" t="n">
        <v>0</v>
      </c>
      <c r="S33" s="658" t="n">
        <v>0</v>
      </c>
      <c r="T33" s="658" t="n">
        <v>0</v>
      </c>
      <c r="U33" s="658" t="n">
        <v>0</v>
      </c>
      <c r="V33" s="658"/>
      <c r="W33" s="658"/>
      <c r="X33" s="451" t="n">
        <v>0</v>
      </c>
      <c r="Y33" s="707"/>
      <c r="Z33" s="665" t="n">
        <v>0</v>
      </c>
      <c r="AA33" s="665" t="n">
        <v>0</v>
      </c>
      <c r="AB33" s="689"/>
      <c r="AP33" s="689"/>
      <c r="AQ33" s="324"/>
      <c r="AR33" s="451" t="n">
        <f aca="false">T33+I33+AQ33+AF33</f>
        <v>9.133</v>
      </c>
      <c r="AS33" s="451" t="n">
        <f aca="false">U33+J33+AG33</f>
        <v>8.027</v>
      </c>
      <c r="AT33" s="324" t="n">
        <f aca="false">X33+M33+AJ33</f>
        <v>3.47197080967756</v>
      </c>
      <c r="AU33" s="451" t="n">
        <f aca="false">O33+Z33+AL33</f>
        <v>7.65793349943345</v>
      </c>
      <c r="AV33" s="451" t="n">
        <f aca="false">P33+AA33+AM33</f>
        <v>7.30583598875609</v>
      </c>
      <c r="AW33" s="324"/>
      <c r="AX33" s="324"/>
      <c r="AY33" s="324"/>
      <c r="AZ33" s="324"/>
      <c r="BA33" s="324"/>
      <c r="BB33" s="324"/>
      <c r="BC33" s="324"/>
      <c r="BD33" s="324"/>
      <c r="BE33" s="324"/>
      <c r="BF33" s="324"/>
      <c r="BG33" s="324"/>
      <c r="BH33" s="324"/>
    </row>
    <row r="34" customFormat="false" ht="12.75" hidden="false" customHeight="false" outlineLevel="0" collapsed="false">
      <c r="A34" s="0" t="s">
        <v>789</v>
      </c>
      <c r="G34" s="658" t="n">
        <v>0</v>
      </c>
      <c r="H34" s="658" t="n">
        <v>0</v>
      </c>
      <c r="I34" s="658" t="n">
        <v>0</v>
      </c>
      <c r="J34" s="658" t="n">
        <v>0</v>
      </c>
      <c r="K34" s="658"/>
      <c r="L34" s="658"/>
      <c r="M34" s="451" t="n">
        <f aca="false">J34/J$35*M$35</f>
        <v>0</v>
      </c>
      <c r="N34" s="707"/>
      <c r="O34" s="709" t="n">
        <f aca="false">J34*(1+M34)</f>
        <v>0</v>
      </c>
      <c r="P34" s="709" t="n">
        <f aca="false">O34*(1+N34)</f>
        <v>0</v>
      </c>
      <c r="Q34" s="688"/>
      <c r="R34" s="658" t="n">
        <v>0</v>
      </c>
      <c r="S34" s="658" t="n">
        <v>0</v>
      </c>
      <c r="T34" s="658" t="n">
        <v>0</v>
      </c>
      <c r="U34" s="658" t="n">
        <v>0</v>
      </c>
      <c r="V34" s="658"/>
      <c r="W34" s="658"/>
      <c r="X34" s="451" t="n">
        <v>0</v>
      </c>
      <c r="Y34" s="688"/>
      <c r="Z34" s="709" t="n">
        <f aca="false">U34*(1+X34)</f>
        <v>0</v>
      </c>
      <c r="AA34" s="709" t="n">
        <f aca="false">Z34*(1+Y34)</f>
        <v>0</v>
      </c>
      <c r="AB34" s="688"/>
      <c r="AP34" s="688"/>
      <c r="AQ34" s="658"/>
      <c r="AR34" s="451" t="n">
        <f aca="false">T34+I34+AQ34+AF34</f>
        <v>0</v>
      </c>
      <c r="AS34" s="451" t="n">
        <f aca="false">U34+J34+AG34</f>
        <v>0</v>
      </c>
      <c r="AT34" s="451" t="n">
        <f aca="false">X34+M34+AJ34</f>
        <v>0</v>
      </c>
      <c r="AU34" s="451" t="n">
        <f aca="false">O34+Z34+AL34</f>
        <v>0</v>
      </c>
      <c r="AV34" s="451" t="n">
        <f aca="false">P34+AA34+AM34</f>
        <v>0</v>
      </c>
      <c r="AW34" s="324"/>
      <c r="AX34" s="324"/>
      <c r="AY34" s="324"/>
      <c r="AZ34" s="324"/>
      <c r="BA34" s="324"/>
      <c r="BB34" s="324"/>
      <c r="BC34" s="324"/>
      <c r="BD34" s="324"/>
      <c r="BE34" s="324"/>
      <c r="BF34" s="324"/>
      <c r="BG34" s="324"/>
      <c r="BH34" s="324"/>
    </row>
    <row r="35" customFormat="false" ht="13.5" hidden="false" customHeight="false" outlineLevel="0" collapsed="false">
      <c r="B35" s="0" t="s">
        <v>790</v>
      </c>
      <c r="G35" s="710" t="n">
        <f aca="false">SUM(G28:G34)</f>
        <v>18083.892</v>
      </c>
      <c r="H35" s="710" t="n">
        <f aca="false">SUM(H28:H34)</f>
        <v>18605.356</v>
      </c>
      <c r="I35" s="710" t="n">
        <f aca="false">SUM(I28:I34)</f>
        <v>18508.551</v>
      </c>
      <c r="J35" s="710" t="n">
        <f aca="false">SUM(J28:J34)</f>
        <v>19268.201</v>
      </c>
      <c r="K35" s="711" t="n">
        <v>0</v>
      </c>
      <c r="L35" s="711" t="n">
        <v>10934</v>
      </c>
      <c r="M35" s="710" t="n">
        <f aca="false">J35+K35-L35</f>
        <v>8334.201</v>
      </c>
      <c r="N35" s="707"/>
      <c r="O35" s="451" t="n">
        <f aca="false">SUM(O28:O34)</f>
        <v>19696.4848683728</v>
      </c>
      <c r="P35" s="451" t="n">
        <f aca="false">SUM(P28:P34)</f>
        <v>20136.0683363419</v>
      </c>
      <c r="Q35" s="688"/>
      <c r="R35" s="710" t="n">
        <f aca="false">SUM(R28:R34)</f>
        <v>22709.682</v>
      </c>
      <c r="S35" s="710" t="n">
        <f aca="false">SUM(S28:S34)</f>
        <v>23045.989</v>
      </c>
      <c r="T35" s="710" t="n">
        <f aca="false">SUM(T28:T34)</f>
        <v>23300.018</v>
      </c>
      <c r="U35" s="710" t="n">
        <f aca="false">SUM(U28:U34)</f>
        <v>24325.548</v>
      </c>
      <c r="V35" s="710"/>
      <c r="W35" s="710"/>
      <c r="X35" s="710" t="n">
        <f aca="false">SUM(X28:X34)</f>
        <v>18395.2426639756</v>
      </c>
      <c r="Y35" s="707"/>
      <c r="Z35" s="451" t="n">
        <f aca="false">SUM(Z28:Z34)</f>
        <v>24920.27226598</v>
      </c>
      <c r="AA35" s="451" t="n">
        <f aca="false">SUM(AA28:AA34)</f>
        <v>25533.8041842949</v>
      </c>
      <c r="AB35" s="688"/>
      <c r="AP35" s="688"/>
      <c r="AQ35" s="658"/>
      <c r="AR35" s="710" t="n">
        <f aca="false">SUM(AR28:AR34)</f>
        <v>41808.569</v>
      </c>
      <c r="AS35" s="710" t="n">
        <f aca="false">SUM(AS28:AS34)</f>
        <v>43593.749</v>
      </c>
      <c r="AT35" s="710" t="n">
        <f aca="false">SUM(AT28:AT34)</f>
        <v>26729.4436639756</v>
      </c>
      <c r="AU35" s="710" t="n">
        <f aca="false">SUM(AU28:AU34)</f>
        <v>44616.7571343528</v>
      </c>
      <c r="AV35" s="710" t="n">
        <f aca="false">SUM(AV28:AV34)</f>
        <v>45669.8725206368</v>
      </c>
      <c r="AW35" s="324"/>
      <c r="AX35" s="324"/>
      <c r="AY35" s="324"/>
      <c r="AZ35" s="324"/>
      <c r="BA35" s="324"/>
      <c r="BB35" s="324"/>
      <c r="BC35" s="324"/>
      <c r="BD35" s="324"/>
      <c r="BE35" s="324"/>
      <c r="BF35" s="324"/>
      <c r="BG35" s="324"/>
      <c r="BH35" s="324"/>
    </row>
    <row r="36" customFormat="false" ht="15.75" hidden="false" customHeight="false" outlineLevel="0" collapsed="false">
      <c r="G36" s="659"/>
      <c r="H36" s="659"/>
      <c r="I36" s="659"/>
      <c r="J36" s="659"/>
      <c r="K36" s="659"/>
      <c r="L36" s="659"/>
      <c r="M36" s="659"/>
      <c r="N36" s="707"/>
      <c r="O36" s="665" t="n">
        <f aca="false">J36*(1+N36)</f>
        <v>0</v>
      </c>
      <c r="P36" s="665" t="n">
        <f aca="false">O36*(1+N36)</f>
        <v>0</v>
      </c>
      <c r="Q36" s="695"/>
      <c r="R36" s="694"/>
      <c r="S36" s="694"/>
      <c r="T36" s="694"/>
      <c r="U36" s="694"/>
      <c r="V36" s="694"/>
      <c r="W36" s="694"/>
      <c r="X36" s="659"/>
      <c r="Y36" s="695"/>
      <c r="Z36" s="665" t="n">
        <f aca="false">U36*(1+Y36)</f>
        <v>0</v>
      </c>
      <c r="AA36" s="665" t="n">
        <f aca="false">Z36*(1+Y36)</f>
        <v>0</v>
      </c>
      <c r="AB36" s="688"/>
      <c r="AP36" s="688"/>
      <c r="AQ36" s="658"/>
      <c r="AR36" s="659"/>
      <c r="AS36" s="659"/>
      <c r="AT36" s="659"/>
      <c r="AU36" s="324"/>
      <c r="AV36" s="324"/>
      <c r="AW36" s="324"/>
      <c r="AX36" s="324"/>
      <c r="AY36" s="324"/>
      <c r="AZ36" s="324"/>
      <c r="BA36" s="324"/>
      <c r="BB36" s="324"/>
      <c r="BC36" s="324"/>
      <c r="BD36" s="324"/>
      <c r="BE36" s="324"/>
      <c r="BF36" s="324"/>
      <c r="BG36" s="324"/>
      <c r="BH36" s="324"/>
    </row>
    <row r="37" customFormat="false" ht="12.75" hidden="false" customHeight="false" outlineLevel="0" collapsed="false">
      <c r="A37" s="0" t="s">
        <v>777</v>
      </c>
      <c r="G37" s="658" t="n">
        <v>7544.671</v>
      </c>
      <c r="H37" s="658" t="n">
        <v>9645.355</v>
      </c>
      <c r="I37" s="658" t="n">
        <v>30272.303</v>
      </c>
      <c r="J37" s="658" t="n">
        <v>41505.813</v>
      </c>
      <c r="K37" s="658" t="n">
        <v>0</v>
      </c>
      <c r="L37" s="658" t="n">
        <v>18617</v>
      </c>
      <c r="M37" s="451" t="n">
        <f aca="false">J37+K37-L37</f>
        <v>22888.813</v>
      </c>
      <c r="N37" s="697" t="n">
        <v>0.05</v>
      </c>
      <c r="O37" s="665" t="n">
        <f aca="false">J37*(1+N37)</f>
        <v>43581.10365</v>
      </c>
      <c r="P37" s="665" t="n">
        <f aca="false">O37*(1+N37)</f>
        <v>45760.1588325</v>
      </c>
      <c r="Q37" s="689"/>
      <c r="R37" s="658" t="n">
        <v>7456.141</v>
      </c>
      <c r="S37" s="658" t="n">
        <v>10444.548</v>
      </c>
      <c r="T37" s="658" t="n">
        <v>33317.13</v>
      </c>
      <c r="U37" s="658" t="n">
        <v>43966.241</v>
      </c>
      <c r="V37" s="658"/>
      <c r="W37" s="658"/>
      <c r="X37" s="451" t="n">
        <f aca="false">X18/X56*1000</f>
        <v>44590.6859532326</v>
      </c>
      <c r="Y37" s="707" t="n">
        <v>0.05</v>
      </c>
      <c r="Z37" s="665" t="n">
        <f aca="false">U37*(1+Y37)</f>
        <v>46164.55305</v>
      </c>
      <c r="AA37" s="665" t="n">
        <f aca="false">Z37*(1+Y37)</f>
        <v>48472.7807025</v>
      </c>
      <c r="AB37" s="689"/>
      <c r="AP37" s="689"/>
      <c r="AQ37" s="324"/>
      <c r="AR37" s="451" t="n">
        <f aca="false">T37+I37+AQ37+AF37</f>
        <v>63589.433</v>
      </c>
      <c r="AS37" s="451" t="n">
        <f aca="false">U37+J37+AG37</f>
        <v>85472.054</v>
      </c>
      <c r="AT37" s="451" t="n">
        <f aca="false">X37+M37+AJ37</f>
        <v>67479.4989532326</v>
      </c>
      <c r="AU37" s="451" t="n">
        <f aca="false">O37+Z37+AL37</f>
        <v>89745.6567</v>
      </c>
      <c r="AV37" s="451" t="n">
        <f aca="false">P37+AA37+AM37</f>
        <v>94232.939535</v>
      </c>
      <c r="AW37" s="324"/>
      <c r="AX37" s="324"/>
      <c r="AY37" s="324"/>
      <c r="AZ37" s="324"/>
      <c r="BA37" s="324"/>
      <c r="BB37" s="324"/>
      <c r="BC37" s="324"/>
      <c r="BD37" s="324"/>
      <c r="BE37" s="324"/>
      <c r="BF37" s="324"/>
      <c r="BG37" s="324"/>
      <c r="BH37" s="324"/>
    </row>
    <row r="38" customFormat="false" ht="12.75" hidden="false" customHeight="false" outlineLevel="0" collapsed="false">
      <c r="G38" s="451"/>
      <c r="H38" s="451"/>
      <c r="I38" s="451"/>
      <c r="J38" s="451"/>
      <c r="K38" s="451"/>
      <c r="L38" s="451"/>
      <c r="M38" s="451"/>
      <c r="N38" s="707"/>
      <c r="O38" s="665"/>
      <c r="P38" s="665"/>
      <c r="Q38" s="689"/>
      <c r="R38" s="324"/>
      <c r="S38" s="324"/>
      <c r="T38" s="324"/>
      <c r="U38" s="324"/>
      <c r="V38" s="324"/>
      <c r="W38" s="324"/>
      <c r="X38" s="451"/>
      <c r="Y38" s="688"/>
      <c r="Z38" s="665"/>
      <c r="AA38" s="665"/>
      <c r="AB38" s="689"/>
      <c r="AP38" s="689"/>
      <c r="AQ38" s="324"/>
      <c r="AR38" s="451"/>
      <c r="AS38" s="324"/>
      <c r="AT38" s="324"/>
    </row>
    <row r="39" customFormat="false" ht="13.5" hidden="false" customHeight="false" outlineLevel="0" collapsed="false">
      <c r="C39" s="0" t="s">
        <v>10</v>
      </c>
      <c r="G39" s="712" t="n">
        <f aca="false">G37+G35</f>
        <v>25628.563</v>
      </c>
      <c r="H39" s="712" t="n">
        <f aca="false">H37+H35</f>
        <v>28250.711</v>
      </c>
      <c r="I39" s="712" t="n">
        <f aca="false">I37+I35</f>
        <v>48780.854</v>
      </c>
      <c r="J39" s="712" t="n">
        <f aca="false">J37+J35</f>
        <v>60774.014</v>
      </c>
      <c r="K39" s="712" t="n">
        <f aca="false">K37+K35</f>
        <v>0</v>
      </c>
      <c r="L39" s="712" t="n">
        <f aca="false">L37+L35</f>
        <v>29551</v>
      </c>
      <c r="M39" s="712" t="n">
        <f aca="false">J39+K39-L39</f>
        <v>31223.014</v>
      </c>
      <c r="N39" s="707"/>
      <c r="O39" s="451" t="n">
        <f aca="false">O37+O35</f>
        <v>63277.5885183728</v>
      </c>
      <c r="P39" s="451" t="n">
        <f aca="false">P37+P35</f>
        <v>65896.2271688419</v>
      </c>
      <c r="Q39" s="688"/>
      <c r="R39" s="712" t="n">
        <f aca="false">R37+R35</f>
        <v>30165.823</v>
      </c>
      <c r="S39" s="712" t="n">
        <f aca="false">S37+S35</f>
        <v>33490.537</v>
      </c>
      <c r="T39" s="712" t="n">
        <f aca="false">T37+T35</f>
        <v>56617.148</v>
      </c>
      <c r="U39" s="712" t="n">
        <f aca="false">U37+U35</f>
        <v>68291.789</v>
      </c>
      <c r="V39" s="712"/>
      <c r="W39" s="712"/>
      <c r="X39" s="712" t="n">
        <f aca="false">X37+X35</f>
        <v>62985.9286172082</v>
      </c>
      <c r="Y39" s="688"/>
      <c r="Z39" s="451" t="n">
        <f aca="false">Z37+Z35</f>
        <v>71084.82531598</v>
      </c>
      <c r="AA39" s="451" t="n">
        <f aca="false">AA37+AA35</f>
        <v>74006.5848867949</v>
      </c>
      <c r="AB39" s="688"/>
      <c r="AP39" s="688"/>
      <c r="AQ39" s="658"/>
      <c r="AR39" s="451" t="n">
        <f aca="false">T39+I39+AQ39+AF39</f>
        <v>105398.002</v>
      </c>
      <c r="AS39" s="451" t="n">
        <f aca="false">U39+J39+AG39</f>
        <v>129065.803</v>
      </c>
      <c r="AT39" s="451" t="n">
        <f aca="false">X39+M39+AJ39</f>
        <v>94208.9426172082</v>
      </c>
      <c r="AU39" s="451" t="n">
        <f aca="false">O39+Z39+AL39</f>
        <v>134362.413834353</v>
      </c>
      <c r="AV39" s="451" t="n">
        <f aca="false">P39+AA39+AM39</f>
        <v>139902.812055637</v>
      </c>
      <c r="AW39" s="324"/>
      <c r="AX39" s="324"/>
      <c r="AY39" s="324"/>
    </row>
    <row r="40" customFormat="false" ht="13.5" hidden="false" customHeight="false" outlineLevel="0" collapsed="false">
      <c r="G40" s="658"/>
      <c r="H40" s="658"/>
      <c r="I40" s="658"/>
      <c r="J40" s="658"/>
      <c r="K40" s="658"/>
      <c r="L40" s="658"/>
      <c r="M40" s="451"/>
      <c r="N40" s="707"/>
      <c r="O40" s="451"/>
      <c r="P40" s="658"/>
      <c r="Q40" s="688"/>
      <c r="R40" s="658"/>
      <c r="S40" s="658"/>
      <c r="T40" s="658"/>
      <c r="U40" s="658"/>
      <c r="V40" s="658"/>
      <c r="W40" s="658"/>
      <c r="X40" s="451"/>
      <c r="Y40" s="688"/>
      <c r="Z40" s="451"/>
      <c r="AA40" s="451"/>
      <c r="AB40" s="688"/>
      <c r="AP40" s="688"/>
      <c r="AQ40" s="658"/>
      <c r="AR40" s="451"/>
      <c r="AS40" s="451"/>
      <c r="AT40" s="451"/>
    </row>
    <row r="41" customFormat="false" ht="12.75" hidden="false" customHeight="false" outlineLevel="0" collapsed="false">
      <c r="A41" s="28" t="s">
        <v>791</v>
      </c>
      <c r="G41" s="658"/>
      <c r="H41" s="658"/>
      <c r="I41" s="658"/>
      <c r="J41" s="658"/>
      <c r="K41" s="658"/>
      <c r="L41" s="658"/>
      <c r="M41" s="451"/>
      <c r="N41" s="707"/>
      <c r="O41" s="451"/>
      <c r="P41" s="658"/>
      <c r="Q41" s="688"/>
      <c r="R41" s="658"/>
      <c r="S41" s="658"/>
      <c r="T41" s="658"/>
      <c r="U41" s="658"/>
      <c r="V41" s="658"/>
      <c r="W41" s="658"/>
      <c r="X41" s="451"/>
      <c r="Y41" s="688"/>
      <c r="Z41" s="451"/>
      <c r="AA41" s="451"/>
      <c r="AB41" s="688"/>
      <c r="AP41" s="688"/>
      <c r="AQ41" s="658"/>
      <c r="AR41" s="451"/>
      <c r="AS41" s="451"/>
      <c r="AT41" s="451"/>
    </row>
    <row r="42" customFormat="false" ht="12.75" hidden="false" customHeight="false" outlineLevel="0" collapsed="false">
      <c r="A42" s="0" t="s">
        <v>770</v>
      </c>
      <c r="G42" s="713" t="n">
        <f aca="false">G9/G28*1000</f>
        <v>77.3358211919133</v>
      </c>
      <c r="H42" s="713" t="n">
        <f aca="false">H9/H28*1000</f>
        <v>76.9051432944301</v>
      </c>
      <c r="I42" s="713" t="n">
        <f aca="false">I9/I28*1000</f>
        <v>75.7523910808872</v>
      </c>
      <c r="J42" s="713" t="n">
        <f aca="false">J9/J28*1000</f>
        <v>77.1090219654594</v>
      </c>
      <c r="K42" s="713"/>
      <c r="L42" s="713"/>
      <c r="M42" s="714" t="n">
        <f aca="false">M9/M28*1000</f>
        <v>217.196445746705</v>
      </c>
      <c r="N42" s="697" t="n">
        <v>-0.0315</v>
      </c>
      <c r="O42" s="713" t="n">
        <f aca="false">J42+J42*N42</f>
        <v>74.6800877735474</v>
      </c>
      <c r="P42" s="713" t="n">
        <f aca="false">O42+O42*Q42</f>
        <v>73.0744658864161</v>
      </c>
      <c r="Q42" s="697" t="n">
        <v>-0.0215</v>
      </c>
      <c r="R42" s="713" t="n">
        <f aca="false">R9/R28*1000</f>
        <v>59.054871942631</v>
      </c>
      <c r="S42" s="713" t="n">
        <f aca="false">S9/S28*1000</f>
        <v>60.8401120366507</v>
      </c>
      <c r="T42" s="713" t="n">
        <f aca="false">T9/T28*1000</f>
        <v>65.8392146691102</v>
      </c>
      <c r="U42" s="713" t="n">
        <f aca="false">U9/U28*1000</f>
        <v>65.240227606455</v>
      </c>
      <c r="V42" s="713"/>
      <c r="W42" s="713"/>
      <c r="X42" s="713" t="n">
        <f aca="false">U42*($U$16-5)/$U$16</f>
        <v>64.9612661136372</v>
      </c>
      <c r="Y42" s="715" t="n">
        <v>-0.0315</v>
      </c>
      <c r="Z42" s="713" t="n">
        <f aca="false">U42+U42*Y42</f>
        <v>63.1851604368516</v>
      </c>
      <c r="AA42" s="713" t="n">
        <f aca="false">Z42+Z42*AB42</f>
        <v>61.5423462654935</v>
      </c>
      <c r="AB42" s="715" t="n">
        <v>-0.026</v>
      </c>
      <c r="AP42" s="715"/>
      <c r="AQ42" s="713"/>
      <c r="AR42" s="713" t="n">
        <f aca="false">AR9/AR28*1000</f>
        <v>70.3550986151391</v>
      </c>
      <c r="AS42" s="713" t="n">
        <f aca="false">AS9/AS28*1000</f>
        <v>70.7963152081617</v>
      </c>
      <c r="AT42" s="713" t="n">
        <f aca="false">AT9/AT28*1000</f>
        <v>106.379851793855</v>
      </c>
      <c r="AU42" s="713" t="n">
        <f aca="false">AU9/AU28*1000</f>
        <v>63.221107757462</v>
      </c>
      <c r="AV42" s="713" t="n">
        <f aca="false">AV9/AV28*1000</f>
        <v>61.6361876106278</v>
      </c>
      <c r="AW42" s="716"/>
      <c r="AX42" s="716"/>
      <c r="AY42" s="716"/>
      <c r="AZ42" s="716"/>
      <c r="BA42" s="716"/>
      <c r="BB42" s="716"/>
    </row>
    <row r="43" customFormat="false" ht="12.75" hidden="false" customHeight="false" outlineLevel="0" collapsed="false">
      <c r="B43" s="0" t="s">
        <v>792</v>
      </c>
      <c r="G43" s="717" t="n">
        <v>0</v>
      </c>
      <c r="H43" s="717" t="n">
        <v>0</v>
      </c>
      <c r="I43" s="717" t="n">
        <v>0</v>
      </c>
      <c r="J43" s="717" t="n">
        <v>0</v>
      </c>
      <c r="K43" s="717"/>
      <c r="L43" s="717"/>
      <c r="M43" s="718" t="n">
        <v>0</v>
      </c>
      <c r="N43" s="697"/>
      <c r="O43" s="717" t="n">
        <f aca="false">-(118*2/5*0.47)*(O42/(O$42+O$44+O$46+O$48+O$50+O$52))</f>
        <v>-5.61330882377118</v>
      </c>
      <c r="P43" s="717" t="n">
        <f aca="false">-(118*2/5*0.47)*(P42/(P$42+P$44+P$46+P$48+P$50+P$52))</f>
        <v>-5.60688855631839</v>
      </c>
      <c r="Q43" s="697"/>
      <c r="R43" s="717" t="n">
        <v>0</v>
      </c>
      <c r="S43" s="717" t="n">
        <v>0</v>
      </c>
      <c r="T43" s="717" t="n">
        <v>0</v>
      </c>
      <c r="U43" s="717" t="n">
        <v>0</v>
      </c>
      <c r="V43" s="717"/>
      <c r="W43" s="717"/>
      <c r="X43" s="717" t="n">
        <v>0</v>
      </c>
      <c r="Y43" s="715"/>
      <c r="Z43" s="717" t="n">
        <f aca="false">-(118*2/5*0.47)*(Z42/(Z$42+Z$44+Z$46+Z$48+Z$50+Z$52))</f>
        <v>-5.15350540995796</v>
      </c>
      <c r="AA43" s="717" t="n">
        <f aca="false">-(118*2/5*0.47)*(AA42/(AA$42+AA$44+AA$46+AA$48+AA$50+AA$52))</f>
        <v>-5.12763063507514</v>
      </c>
      <c r="AB43" s="715"/>
      <c r="AP43" s="715"/>
      <c r="AQ43" s="717"/>
      <c r="AR43" s="717"/>
      <c r="AS43" s="717"/>
      <c r="AT43" s="717"/>
      <c r="AU43" s="369"/>
      <c r="AV43" s="369"/>
    </row>
    <row r="44" customFormat="false" ht="12.75" hidden="false" customHeight="false" outlineLevel="0" collapsed="false">
      <c r="A44" s="0" t="s">
        <v>785</v>
      </c>
      <c r="G44" s="717" t="n">
        <f aca="false">G10/G29*1000</f>
        <v>68.2814528059796</v>
      </c>
      <c r="H44" s="717" t="n">
        <f aca="false">H10/H29*1000</f>
        <v>67.91048451626</v>
      </c>
      <c r="I44" s="717" t="n">
        <f aca="false">I10/I29*1000</f>
        <v>65.8799740687316</v>
      </c>
      <c r="J44" s="717" t="n">
        <f aca="false">J10/J29*1000</f>
        <v>67.1256251244188</v>
      </c>
      <c r="K44" s="717"/>
      <c r="L44" s="717"/>
      <c r="M44" s="718" t="n">
        <f aca="false">M10/M29*1000</f>
        <v>189.075763431162</v>
      </c>
      <c r="N44" s="697" t="n">
        <v>-0.03</v>
      </c>
      <c r="O44" s="717" t="n">
        <f aca="false">J44+J44*N44</f>
        <v>65.1118563706862</v>
      </c>
      <c r="P44" s="717" t="n">
        <f aca="false">O44+O44*Q44</f>
        <v>63.8096192432725</v>
      </c>
      <c r="Q44" s="697" t="n">
        <v>-0.02</v>
      </c>
      <c r="R44" s="717" t="n">
        <f aca="false">R10/R29*1000</f>
        <v>46.7336346982639</v>
      </c>
      <c r="S44" s="717" t="n">
        <f aca="false">S10/S29*1000</f>
        <v>47.6542776619395</v>
      </c>
      <c r="T44" s="717" t="n">
        <f aca="false">T10/T29*1000</f>
        <v>49.1323901637089</v>
      </c>
      <c r="U44" s="717" t="n">
        <f aca="false">U10/U29*1000</f>
        <v>49.8246170419142</v>
      </c>
      <c r="V44" s="717"/>
      <c r="W44" s="717"/>
      <c r="X44" s="717" t="n">
        <f aca="false">U44*($J$16-5)/$J$16</f>
        <v>49.6176691044879</v>
      </c>
      <c r="Y44" s="715" t="n">
        <v>-0.03</v>
      </c>
      <c r="Z44" s="717" t="n">
        <f aca="false">U44+U44*Y44</f>
        <v>48.3298785306568</v>
      </c>
      <c r="AA44" s="717" t="n">
        <f aca="false">Z44+Z44*AB44</f>
        <v>48.3298785306568</v>
      </c>
      <c r="AB44" s="715"/>
      <c r="AP44" s="715"/>
      <c r="AQ44" s="717"/>
      <c r="AR44" s="717" t="n">
        <f aca="false">AR10/AR29*1000</f>
        <v>57.1773329162364</v>
      </c>
      <c r="AS44" s="717" t="n">
        <f aca="false">AS10/AS29*1000</f>
        <v>57.7373027719668</v>
      </c>
      <c r="AT44" s="717" t="n">
        <f aca="false">AT10/AT29*1000</f>
        <v>327.690709406291</v>
      </c>
      <c r="AU44" s="717" t="n">
        <f aca="false">AU10/AU29*1000</f>
        <v>50.6341668326266</v>
      </c>
      <c r="AV44" s="717" t="n">
        <f aca="false">AV10/AV29*1000</f>
        <v>50.0495121704003</v>
      </c>
      <c r="AW44" s="369"/>
    </row>
    <row r="45" customFormat="false" ht="12.75" hidden="false" customHeight="false" outlineLevel="0" collapsed="false">
      <c r="B45" s="0" t="s">
        <v>793</v>
      </c>
      <c r="G45" s="717" t="n">
        <v>0</v>
      </c>
      <c r="H45" s="717" t="n">
        <v>0</v>
      </c>
      <c r="I45" s="717" t="n">
        <v>0</v>
      </c>
      <c r="J45" s="717" t="n">
        <v>0</v>
      </c>
      <c r="K45" s="717"/>
      <c r="L45" s="717"/>
      <c r="M45" s="718" t="n">
        <v>0</v>
      </c>
      <c r="N45" s="697"/>
      <c r="O45" s="717" t="n">
        <f aca="false">-(118*2/5*0.47)*(O44/(O$42+O$44+O$46+O$48+O$50+O$52))</f>
        <v>-4.89411526946754</v>
      </c>
      <c r="P45" s="717" t="n">
        <f aca="false">-(118*2/5*0.47)*(P44/(P$42+P$44+P$46+P$48+P$50+P$52))</f>
        <v>-4.89601148059359</v>
      </c>
      <c r="Q45" s="697"/>
      <c r="R45" s="717" t="n">
        <v>0</v>
      </c>
      <c r="S45" s="717" t="n">
        <v>0</v>
      </c>
      <c r="T45" s="717" t="n">
        <v>0</v>
      </c>
      <c r="U45" s="717" t="n">
        <v>0</v>
      </c>
      <c r="V45" s="717"/>
      <c r="W45" s="717"/>
      <c r="X45" s="717" t="n">
        <v>0</v>
      </c>
      <c r="Y45" s="715"/>
      <c r="Z45" s="717" t="n">
        <f aca="false">-(118*2/5*0.47)*(Z44/(Z$42+Z$44+Z$46+Z$48+Z$50+Z$52))</f>
        <v>-3.94187952912257</v>
      </c>
      <c r="AA45" s="717" t="n">
        <f aca="false">-(118*2/5*0.47)*(AA44/(AA$42+AA$44+AA$46+AA$48+AA$50+AA$52))</f>
        <v>-4.02678449525098</v>
      </c>
      <c r="AB45" s="715"/>
      <c r="AP45" s="715"/>
      <c r="AQ45" s="717"/>
      <c r="AR45" s="717"/>
      <c r="AS45" s="717"/>
      <c r="AT45" s="717"/>
      <c r="AU45" s="369"/>
      <c r="AV45" s="369"/>
      <c r="AW45" s="369"/>
    </row>
    <row r="46" customFormat="false" ht="12.75" hidden="false" customHeight="false" outlineLevel="0" collapsed="false">
      <c r="A46" s="0" t="s">
        <v>772</v>
      </c>
      <c r="G46" s="717" t="n">
        <f aca="false">G11/G30*1000</f>
        <v>46.1747420538903</v>
      </c>
      <c r="H46" s="717" t="n">
        <f aca="false">H11/H30*1000</f>
        <v>45.9614879382451</v>
      </c>
      <c r="I46" s="717" t="n">
        <f aca="false">I11/I30*1000</f>
        <v>43.1076424900623</v>
      </c>
      <c r="J46" s="717" t="n">
        <f aca="false">J11/J30*1000</f>
        <v>44.7375434245398</v>
      </c>
      <c r="K46" s="717"/>
      <c r="L46" s="717"/>
      <c r="M46" s="718" t="n">
        <f aca="false">M11/M30*1000</f>
        <v>126.014248081133</v>
      </c>
      <c r="N46" s="697" t="n">
        <v>-0.03</v>
      </c>
      <c r="O46" s="717" t="n">
        <f aca="false">J46+J46*N46</f>
        <v>43.3954171218036</v>
      </c>
      <c r="P46" s="717" t="n">
        <f aca="false">O46+O46*Q46</f>
        <v>42.5275087793675</v>
      </c>
      <c r="Q46" s="697" t="n">
        <v>-0.02</v>
      </c>
      <c r="R46" s="717" t="n">
        <f aca="false">R11/R30*1000</f>
        <v>34.5596639097624</v>
      </c>
      <c r="S46" s="717" t="n">
        <f aca="false">S11/S30*1000</f>
        <v>34.7630263716239</v>
      </c>
      <c r="T46" s="717" t="n">
        <f aca="false">T11/T30*1000</f>
        <v>36.4821438424577</v>
      </c>
      <c r="U46" s="717" t="n">
        <f aca="false">U11/U30*1000</f>
        <v>35.0869672084882</v>
      </c>
      <c r="V46" s="717"/>
      <c r="W46" s="717"/>
      <c r="X46" s="717" t="n">
        <f aca="false">U46*($J$16-5)/$J$16</f>
        <v>34.9412325109544</v>
      </c>
      <c r="Y46" s="715" t="n">
        <v>-0.03</v>
      </c>
      <c r="Z46" s="717" t="n">
        <f aca="false">U46+U46*Y46</f>
        <v>34.0343581922336</v>
      </c>
      <c r="AA46" s="717" t="n">
        <f aca="false">Z46+Z46*AB46</f>
        <v>33.1664820583316</v>
      </c>
      <c r="AB46" s="715" t="n">
        <v>-0.0255</v>
      </c>
      <c r="AP46" s="715"/>
      <c r="AQ46" s="717"/>
      <c r="AR46" s="717" t="n">
        <f aca="false">AR11/AR30*1000</f>
        <v>38.8939459189769</v>
      </c>
      <c r="AS46" s="717" t="n">
        <f aca="false">AS11/AS30*1000</f>
        <v>38.6283782495385</v>
      </c>
      <c r="AT46" s="717" t="n">
        <f aca="false">AT11/AT30*1000</f>
        <v>52.9335641285308</v>
      </c>
      <c r="AU46" s="717" t="n">
        <f aca="false">AU11/AU30*1000</f>
        <v>50.185961463541</v>
      </c>
      <c r="AV46" s="717" t="n">
        <f aca="false">AV11/AV30*1000</f>
        <v>49.6443650599452</v>
      </c>
      <c r="AW46" s="369"/>
    </row>
    <row r="47" customFormat="false" ht="12.75" hidden="false" customHeight="false" outlineLevel="0" collapsed="false">
      <c r="B47" s="0" t="s">
        <v>793</v>
      </c>
      <c r="G47" s="717" t="n">
        <v>0</v>
      </c>
      <c r="H47" s="717" t="n">
        <v>0</v>
      </c>
      <c r="I47" s="717" t="n">
        <v>0</v>
      </c>
      <c r="J47" s="717" t="n">
        <v>0</v>
      </c>
      <c r="K47" s="717"/>
      <c r="L47" s="717"/>
      <c r="M47" s="718" t="n">
        <v>0</v>
      </c>
      <c r="N47" s="697"/>
      <c r="O47" s="717" t="n">
        <f aca="false">-(118*2/5*0.47)*(O46/(O$42+O$44+O$46+O$48+O$50+O$52))</f>
        <v>-3.26180492154341</v>
      </c>
      <c r="P47" s="717" t="n">
        <f aca="false">-(118*2/5*0.47)*(P46/(P$42+P$44+P$46+P$48+P$50+P$52))</f>
        <v>-3.26306869863952</v>
      </c>
      <c r="Q47" s="697"/>
      <c r="R47" s="717" t="n">
        <v>0</v>
      </c>
      <c r="S47" s="717" t="n">
        <v>0</v>
      </c>
      <c r="T47" s="717" t="n">
        <v>0</v>
      </c>
      <c r="U47" s="717" t="n">
        <v>0</v>
      </c>
      <c r="V47" s="717"/>
      <c r="W47" s="717"/>
      <c r="X47" s="717" t="n">
        <v>0</v>
      </c>
      <c r="Y47" s="715"/>
      <c r="Z47" s="717" t="n">
        <f aca="false">-(118*2/5*0.47)*(Z46/(Z$42+Z$44+Z$46+Z$48+Z$50+Z$52))</f>
        <v>-2.77590889784029</v>
      </c>
      <c r="AA47" s="717" t="n">
        <f aca="false">-(118*2/5*0.47)*(AA46/(AA$42+AA$44+AA$46+AA$48+AA$50+AA$52))</f>
        <v>-2.76338943475293</v>
      </c>
      <c r="AB47" s="715"/>
      <c r="AP47" s="715"/>
      <c r="AQ47" s="717"/>
      <c r="AR47" s="717"/>
      <c r="AS47" s="717"/>
      <c r="AT47" s="717"/>
      <c r="AU47" s="369"/>
      <c r="AV47" s="369"/>
      <c r="AW47" s="369"/>
    </row>
    <row r="48" customFormat="false" ht="12.75" hidden="false" customHeight="false" outlineLevel="0" collapsed="false">
      <c r="A48" s="0" t="s">
        <v>794</v>
      </c>
      <c r="G48" s="717" t="n">
        <f aca="false">G12/G31*1000</f>
        <v>65.127921250177</v>
      </c>
      <c r="H48" s="717" t="n">
        <f aca="false">H12/H31*1000</f>
        <v>66.4569016986455</v>
      </c>
      <c r="I48" s="717" t="n">
        <f aca="false">I12/I31*1000</f>
        <v>62.5068309794148</v>
      </c>
      <c r="J48" s="717" t="n">
        <f aca="false">J12/J31*1000</f>
        <v>67.8550915767574</v>
      </c>
      <c r="K48" s="717"/>
      <c r="L48" s="717"/>
      <c r="M48" s="718" t="n">
        <f aca="false">M12/M31*1000</f>
        <v>191.130484353578</v>
      </c>
      <c r="N48" s="697" t="n">
        <v>-0.03</v>
      </c>
      <c r="O48" s="717" t="n">
        <f aca="false">J48+J48*N48</f>
        <v>65.8194388294546</v>
      </c>
      <c r="P48" s="717" t="n">
        <f aca="false">O48+O48*Q48</f>
        <v>64.5030500528656</v>
      </c>
      <c r="Q48" s="697" t="n">
        <v>-0.02</v>
      </c>
      <c r="R48" s="717" t="n">
        <f aca="false">R12/R31*1000</f>
        <v>121.436538737962</v>
      </c>
      <c r="S48" s="717" t="n">
        <f aca="false">S12/S31*1000</f>
        <v>124.380188113499</v>
      </c>
      <c r="T48" s="717" t="n">
        <f aca="false">T12/T31*1000</f>
        <v>128.98857933092</v>
      </c>
      <c r="U48" s="717" t="n">
        <f aca="false">U12/U31*1000</f>
        <v>130.350669381208</v>
      </c>
      <c r="V48" s="717"/>
      <c r="W48" s="717"/>
      <c r="X48" s="717" t="n">
        <f aca="false">U48*($J$16-5)/$J$16</f>
        <v>129.809254238009</v>
      </c>
      <c r="Y48" s="715" t="n">
        <v>-0.03</v>
      </c>
      <c r="Z48" s="717" t="n">
        <f aca="false">U48+U48*Y48</f>
        <v>126.440149299772</v>
      </c>
      <c r="AA48" s="717" t="n">
        <f aca="false">Z48+Z48*AB48</f>
        <v>123.215925492628</v>
      </c>
      <c r="AB48" s="715" t="n">
        <v>-0.0255</v>
      </c>
      <c r="AP48" s="715"/>
      <c r="AQ48" s="717"/>
      <c r="AR48" s="717" t="n">
        <f aca="false">AR12/AR31*1000</f>
        <v>90.8377642844373</v>
      </c>
      <c r="AS48" s="717" t="n">
        <f aca="false">AS12/AS31*1000</f>
        <v>94.3740436532609</v>
      </c>
      <c r="AT48" s="717" t="n">
        <f aca="false">AT12/AT31*1000</f>
        <v>152.225395521652</v>
      </c>
      <c r="AU48" s="717" t="n">
        <f aca="false">AU12/AU31*1000</f>
        <v>34.9349257135058</v>
      </c>
      <c r="AV48" s="717" t="n">
        <f aca="false">AV12/AV31*1000</f>
        <v>34.031713287721</v>
      </c>
      <c r="AW48" s="369"/>
    </row>
    <row r="49" customFormat="false" ht="12.75" hidden="false" customHeight="false" outlineLevel="0" collapsed="false">
      <c r="B49" s="0" t="s">
        <v>793</v>
      </c>
      <c r="G49" s="717" t="n">
        <v>0</v>
      </c>
      <c r="H49" s="717" t="n">
        <v>0</v>
      </c>
      <c r="I49" s="717" t="n">
        <v>0</v>
      </c>
      <c r="J49" s="717" t="n">
        <v>0</v>
      </c>
      <c r="K49" s="717"/>
      <c r="L49" s="717"/>
      <c r="M49" s="718" t="n">
        <v>0</v>
      </c>
      <c r="N49" s="697"/>
      <c r="O49" s="717" t="n">
        <f aca="false">-(118*2/5*0.47)*(O48/(O$42+O$44+O$46+O$48+O$50+O$52))</f>
        <v>-4.94730051573284</v>
      </c>
      <c r="P49" s="717" t="n">
        <f aca="false">-(118*2/5*0.47)*(P48/(P$42+P$44+P$46+P$48+P$50+P$52))</f>
        <v>-4.94921733333221</v>
      </c>
      <c r="Q49" s="697"/>
      <c r="R49" s="717" t="n">
        <v>0</v>
      </c>
      <c r="S49" s="717" t="n">
        <v>0</v>
      </c>
      <c r="T49" s="717" t="n">
        <v>0</v>
      </c>
      <c r="U49" s="717" t="n">
        <v>0</v>
      </c>
      <c r="V49" s="717"/>
      <c r="W49" s="717"/>
      <c r="X49" s="717" t="n">
        <v>0</v>
      </c>
      <c r="Y49" s="715"/>
      <c r="Z49" s="717" t="n">
        <f aca="false">-(118*2/5*0.47)*(Z48/(Z$42+Z$44+Z$46+Z$48+Z$50+Z$52))</f>
        <v>-10.3127061630792</v>
      </c>
      <c r="AA49" s="717" t="n">
        <f aca="false">-(118*2/5*0.47)*(AA48/(AA$42+AA$44+AA$46+AA$48+AA$50+AA$52))</f>
        <v>-10.2661954349209</v>
      </c>
      <c r="AB49" s="715"/>
      <c r="AP49" s="715"/>
      <c r="AQ49" s="717"/>
      <c r="AR49" s="717"/>
      <c r="AS49" s="717"/>
      <c r="AT49" s="717"/>
      <c r="AU49" s="369"/>
      <c r="AV49" s="369"/>
      <c r="AW49" s="369"/>
    </row>
    <row r="50" customFormat="false" ht="12.75" hidden="false" customHeight="false" outlineLevel="0" collapsed="false">
      <c r="A50" s="0" t="s">
        <v>795</v>
      </c>
      <c r="G50" s="717" t="n">
        <f aca="false">G13/G32*1000</f>
        <v>57.4180611296901</v>
      </c>
      <c r="H50" s="717" t="n">
        <f aca="false">H13/H32*1000</f>
        <v>57.4743316899543</v>
      </c>
      <c r="I50" s="717" t="n">
        <f aca="false">I13/I32*1000</f>
        <v>54.9535928935668</v>
      </c>
      <c r="J50" s="717" t="n">
        <f aca="false">J13/J32*1000</f>
        <v>57.247402553792</v>
      </c>
      <c r="K50" s="717"/>
      <c r="L50" s="717"/>
      <c r="M50" s="717" t="n">
        <f aca="false">M13/M32*1000</f>
        <v>161.251330207303</v>
      </c>
      <c r="N50" s="697" t="n">
        <v>-0.03</v>
      </c>
      <c r="O50" s="717" t="n">
        <v>0</v>
      </c>
      <c r="P50" s="717" t="n">
        <v>0</v>
      </c>
      <c r="Q50" s="697" t="n">
        <v>-0.02</v>
      </c>
      <c r="R50" s="717" t="n">
        <f aca="false">R13/R32*1000</f>
        <v>87.5890736342043</v>
      </c>
      <c r="S50" s="717" t="n">
        <f aca="false">S13/S32*1000</f>
        <v>86.6628075253256</v>
      </c>
      <c r="T50" s="717" t="n">
        <f aca="false">T13/T32*1000</f>
        <v>92.3937823834197</v>
      </c>
      <c r="U50" s="717" t="n">
        <f aca="false">U13/U32*1000</f>
        <v>94.1193092621664</v>
      </c>
      <c r="V50" s="717"/>
      <c r="W50" s="717"/>
      <c r="X50" s="717" t="n">
        <f aca="false">U50*($J$16-5)/$J$16</f>
        <v>93.7283820843938</v>
      </c>
      <c r="Y50" s="715" t="n">
        <v>-0.03</v>
      </c>
      <c r="Z50" s="717" t="n">
        <v>0</v>
      </c>
      <c r="AA50" s="717" t="n">
        <v>0</v>
      </c>
      <c r="AB50" s="715" t="n">
        <v>-0.0255</v>
      </c>
      <c r="AP50" s="715"/>
      <c r="AQ50" s="717"/>
      <c r="AR50" s="717" t="n">
        <f aca="false">AR13/AR32*1000</f>
        <v>54.9702060447772</v>
      </c>
      <c r="AS50" s="717" t="n">
        <f aca="false">AS13/AS32*1000</f>
        <v>57.2655249358818</v>
      </c>
      <c r="AT50" s="717" t="n">
        <f aca="false">AT13/AT32*1000</f>
        <v>161.173240882395</v>
      </c>
      <c r="AU50" s="717" t="n">
        <f aca="false">AU13/AU32*1000</f>
        <v>40.128421917185</v>
      </c>
      <c r="AV50" s="717" t="n">
        <f aca="false">AV13/AV32*1000</f>
        <v>39.258274105097</v>
      </c>
      <c r="AW50" s="369"/>
    </row>
    <row r="51" customFormat="false" ht="12.75" hidden="false" customHeight="false" outlineLevel="0" collapsed="false">
      <c r="B51" s="0" t="s">
        <v>793</v>
      </c>
      <c r="G51" s="717" t="n">
        <v>0</v>
      </c>
      <c r="H51" s="717" t="n">
        <v>0</v>
      </c>
      <c r="I51" s="717" t="n">
        <v>0</v>
      </c>
      <c r="J51" s="717" t="n">
        <v>0</v>
      </c>
      <c r="K51" s="717"/>
      <c r="L51" s="717"/>
      <c r="M51" s="717" t="n">
        <v>0</v>
      </c>
      <c r="N51" s="697"/>
      <c r="O51" s="717" t="n">
        <v>0</v>
      </c>
      <c r="P51" s="717" t="n">
        <v>0</v>
      </c>
      <c r="Q51" s="697"/>
      <c r="R51" s="717" t="n">
        <v>0</v>
      </c>
      <c r="S51" s="717" t="n">
        <v>0</v>
      </c>
      <c r="T51" s="717" t="n">
        <v>0</v>
      </c>
      <c r="U51" s="717" t="n">
        <v>0</v>
      </c>
      <c r="V51" s="717"/>
      <c r="W51" s="717"/>
      <c r="X51" s="717" t="n">
        <f aca="false">U51*($J$16-5)/$J$16</f>
        <v>0</v>
      </c>
      <c r="Y51" s="715"/>
      <c r="Z51" s="717" t="n">
        <v>0</v>
      </c>
      <c r="AA51" s="717" t="n">
        <v>0</v>
      </c>
      <c r="AB51" s="715"/>
      <c r="AP51" s="715"/>
      <c r="AQ51" s="717"/>
      <c r="AR51" s="717"/>
      <c r="AS51" s="717"/>
      <c r="AT51" s="717"/>
      <c r="AU51" s="369"/>
      <c r="AV51" s="369"/>
      <c r="AW51" s="369"/>
    </row>
    <row r="52" customFormat="false" ht="12.75" hidden="false" customHeight="false" outlineLevel="0" collapsed="false">
      <c r="A52" s="0" t="s">
        <v>796</v>
      </c>
      <c r="G52" s="717" t="n">
        <f aca="false">G14/G33*1000</f>
        <v>50.2632938643703</v>
      </c>
      <c r="H52" s="717" t="n">
        <f aca="false">H14/H33*1000</f>
        <v>50.1980686695279</v>
      </c>
      <c r="I52" s="717" t="n">
        <f aca="false">I14/I33*1000</f>
        <v>46.1518668564546</v>
      </c>
      <c r="J52" s="717" t="n">
        <f aca="false">J14/J33*1000</f>
        <v>47.5583655163822</v>
      </c>
      <c r="K52" s="717"/>
      <c r="L52" s="717"/>
      <c r="M52" s="717" t="n">
        <f aca="false">M14/M33*1000</f>
        <v>133.959784372676</v>
      </c>
      <c r="N52" s="697" t="n">
        <v>-0.03</v>
      </c>
      <c r="O52" s="717" t="n">
        <f aca="false">J52+J52*N52</f>
        <v>46.1316145508907</v>
      </c>
      <c r="P52" s="717" t="n">
        <f aca="false">O52+O52*Q52</f>
        <v>45.2089822598729</v>
      </c>
      <c r="Q52" s="697" t="n">
        <v>-0.02</v>
      </c>
      <c r="R52" s="717" t="n">
        <v>0</v>
      </c>
      <c r="S52" s="717" t="n">
        <v>0</v>
      </c>
      <c r="T52" s="717" t="n">
        <v>0</v>
      </c>
      <c r="U52" s="717" t="n">
        <v>0</v>
      </c>
      <c r="V52" s="717"/>
      <c r="W52" s="717"/>
      <c r="X52" s="717" t="n">
        <f aca="false">U52*($J$16-5)/$J$16</f>
        <v>0</v>
      </c>
      <c r="Y52" s="715" t="n">
        <v>-0.03</v>
      </c>
      <c r="Z52" s="717" t="n">
        <f aca="false">U52+U52*Y52</f>
        <v>0</v>
      </c>
      <c r="AA52" s="717" t="n">
        <f aca="false">Z52+Z52*AB52</f>
        <v>0</v>
      </c>
      <c r="AB52" s="715" t="n">
        <v>-0.0255</v>
      </c>
      <c r="AP52" s="715"/>
      <c r="AQ52" s="717"/>
      <c r="AR52" s="717" t="n">
        <f aca="false">AR14/AR33*1000</f>
        <v>46.1518668564546</v>
      </c>
      <c r="AS52" s="717" t="n">
        <f aca="false">AS14/AS33*1000</f>
        <v>47.5583655163822</v>
      </c>
      <c r="AT52" s="717" t="n">
        <f aca="false">AT14/AT33*1000</f>
        <v>133.959784372676</v>
      </c>
      <c r="AU52" s="717" t="n">
        <f aca="false">AU14/AU33*1000</f>
        <v>62.5576339079112</v>
      </c>
      <c r="AV52" s="717" t="n">
        <f aca="false">AV14/AV33*1000</f>
        <v>61.239981354226</v>
      </c>
      <c r="AW52" s="369"/>
    </row>
    <row r="53" customFormat="false" ht="15" hidden="false" customHeight="false" outlineLevel="0" collapsed="false">
      <c r="B53" s="0" t="s">
        <v>793</v>
      </c>
      <c r="G53" s="717" t="n">
        <v>0</v>
      </c>
      <c r="H53" s="717" t="n">
        <v>0</v>
      </c>
      <c r="I53" s="717" t="n">
        <v>0</v>
      </c>
      <c r="J53" s="717" t="n">
        <v>0</v>
      </c>
      <c r="K53" s="717"/>
      <c r="L53" s="717"/>
      <c r="M53" s="717" t="n">
        <v>0</v>
      </c>
      <c r="N53" s="693"/>
      <c r="O53" s="717" t="n">
        <f aca="false">-(118*2/5*0.47)*(O52/(O$42+O$44+O$46+O$48+O$50+O$52))</f>
        <v>-3.46747046948503</v>
      </c>
      <c r="P53" s="717" t="n">
        <f aca="false">-(118*2/5*0.47)*(P52/(P$42+P$44+P$46+P$48+P$50+P$52))</f>
        <v>-3.46881393111629</v>
      </c>
      <c r="Q53" s="719"/>
      <c r="R53" s="717" t="n">
        <v>0</v>
      </c>
      <c r="S53" s="717" t="n">
        <v>0</v>
      </c>
      <c r="T53" s="717" t="n">
        <v>0</v>
      </c>
      <c r="U53" s="717" t="n">
        <v>0</v>
      </c>
      <c r="V53" s="717"/>
      <c r="W53" s="717"/>
      <c r="X53" s="717" t="n">
        <v>0</v>
      </c>
      <c r="Y53" s="719"/>
      <c r="Z53" s="720" t="n">
        <f aca="false">-(118*2/5*0.47)*(Z52/(Z$42+Z$44+Z$46+Z$48+Z$50+Z$52))</f>
        <v>-0</v>
      </c>
      <c r="AA53" s="720" t="n">
        <f aca="false">-(118*2/5*0.47)*(AA52/(AA$42+AA$44+AA$46+AA$48+AA$50+AA$52))</f>
        <v>-0</v>
      </c>
      <c r="AB53" s="719"/>
      <c r="AP53" s="719"/>
      <c r="AQ53" s="720"/>
      <c r="AR53" s="720"/>
      <c r="AS53" s="720"/>
      <c r="AT53" s="369"/>
      <c r="AU53" s="369"/>
      <c r="AV53" s="369"/>
    </row>
    <row r="54" customFormat="false" ht="12.75" hidden="false" customHeight="false" outlineLevel="0" collapsed="false">
      <c r="B54" s="0" t="s">
        <v>776</v>
      </c>
      <c r="G54" s="717" t="n">
        <f aca="false">G16/G35*1000</f>
        <v>63.6222172749096</v>
      </c>
      <c r="H54" s="717" t="n">
        <f aca="false">H16/H35*1000</f>
        <v>63.3503836207165</v>
      </c>
      <c r="I54" s="717" t="n">
        <f aca="false">I16/I35*1000</f>
        <v>60.7286144658218</v>
      </c>
      <c r="J54" s="717" t="n">
        <f aca="false">J16/J35*1000</f>
        <v>62.4757823524884</v>
      </c>
      <c r="K54" s="717"/>
      <c r="L54" s="717"/>
      <c r="M54" s="717" t="n">
        <f aca="false">M16/M35*1000</f>
        <v>175.978342434218</v>
      </c>
      <c r="N54" s="697"/>
      <c r="O54" s="717" t="n">
        <f aca="false">((J54*J35-20000*0.47)/O35)</f>
        <v>60.6400553185953</v>
      </c>
      <c r="P54" s="717" t="n">
        <f aca="false">((O54*O35-20000*0.47)/P35)</f>
        <v>58.8494194699022</v>
      </c>
      <c r="Q54" s="697"/>
      <c r="R54" s="717" t="n">
        <f aca="false">R16/R35*1000</f>
        <v>45.5933137240759</v>
      </c>
      <c r="S54" s="717" t="n">
        <f aca="false">S16/S35*1000</f>
        <v>46.326074919154</v>
      </c>
      <c r="T54" s="717" t="n">
        <f aca="false">T16/T35*1000</f>
        <v>48.627237455353</v>
      </c>
      <c r="U54" s="717" t="n">
        <f aca="false">U16/U35*1000</f>
        <v>48.0704934992626</v>
      </c>
      <c r="V54" s="717"/>
      <c r="W54" s="717"/>
      <c r="X54" s="717" t="n">
        <f aca="false">X16/X35*1000</f>
        <v>64.4704214557783</v>
      </c>
      <c r="Y54" s="715"/>
      <c r="Z54" s="717" t="n">
        <f aca="false">((U54*U35-20000*0.47)/Z35)</f>
        <v>46.5460844335757</v>
      </c>
      <c r="AA54" s="717" t="n">
        <f aca="false">((Z54*Z35-20000*0.47)/AA35)</f>
        <v>45.0595253529697</v>
      </c>
      <c r="AB54" s="715"/>
      <c r="AP54" s="715"/>
      <c r="AQ54" s="717"/>
      <c r="AR54" s="717" t="n">
        <f aca="false">AR16/AR35*1000</f>
        <v>53.9844873906112</v>
      </c>
      <c r="AS54" s="717" t="n">
        <f aca="false">AS16/AS35*1000</f>
        <v>54.43755316846</v>
      </c>
      <c r="AT54" s="717" t="n">
        <f aca="false">AT16/AT35*1000</f>
        <v>99.2384262900475</v>
      </c>
      <c r="AU54" s="717" t="n">
        <f aca="false">AU16/AU35*1000</f>
        <v>53.9567634771877</v>
      </c>
      <c r="AV54" s="717" t="n">
        <f aca="false">AV16/AV35*1000</f>
        <v>53.0287433542185</v>
      </c>
      <c r="AW54" s="369"/>
    </row>
    <row r="55" customFormat="false" ht="12.75" hidden="false" customHeight="false" outlineLevel="0" collapsed="false">
      <c r="G55" s="369"/>
      <c r="H55" s="369"/>
      <c r="I55" s="369"/>
      <c r="J55" s="717"/>
      <c r="K55" s="717"/>
      <c r="L55" s="717"/>
      <c r="M55" s="717"/>
      <c r="N55" s="721"/>
      <c r="O55" s="717"/>
      <c r="P55" s="369"/>
      <c r="Q55" s="689"/>
      <c r="R55" s="369"/>
      <c r="S55" s="369"/>
      <c r="T55" s="369"/>
      <c r="U55" s="369"/>
      <c r="V55" s="369"/>
      <c r="W55" s="369"/>
      <c r="X55" s="596"/>
      <c r="Y55" s="688"/>
      <c r="Z55" s="717"/>
      <c r="AA55" s="717"/>
      <c r="AB55" s="693"/>
      <c r="AP55" s="693"/>
      <c r="AQ55" s="596"/>
      <c r="AR55" s="596"/>
      <c r="AS55" s="596"/>
      <c r="AT55" s="596"/>
      <c r="AU55" s="369"/>
      <c r="AV55" s="369"/>
      <c r="AW55" s="369"/>
    </row>
    <row r="56" customFormat="false" ht="12.75" hidden="false" customHeight="false" outlineLevel="0" collapsed="false">
      <c r="A56" s="0" t="s">
        <v>777</v>
      </c>
      <c r="G56" s="713" t="n">
        <f aca="false">G18/G37*1000</f>
        <v>30.8010195540667</v>
      </c>
      <c r="H56" s="713" t="n">
        <f aca="false">H18/H37*1000</f>
        <v>27.4788263366149</v>
      </c>
      <c r="I56" s="713" t="n">
        <f aca="false">I18/I37*1000</f>
        <v>25.3363292181635</v>
      </c>
      <c r="J56" s="713" t="n">
        <f aca="false">J18/J37*1000</f>
        <v>28.6509619989855</v>
      </c>
      <c r="K56" s="713"/>
      <c r="L56" s="713"/>
      <c r="M56" s="713" t="n">
        <f aca="false">M18/M37*1000</f>
        <v>63.2987573674826</v>
      </c>
      <c r="N56" s="697" t="n">
        <v>-0.0135</v>
      </c>
      <c r="O56" s="713" t="n">
        <f aca="false">J56*(1+N56)</f>
        <v>28.2641740119992</v>
      </c>
      <c r="P56" s="713" t="n">
        <f aca="false">O56*(1+N56)</f>
        <v>27.8826076628373</v>
      </c>
      <c r="Q56" s="689"/>
      <c r="R56" s="713" t="n">
        <f aca="false">R18/R37*1000</f>
        <v>24.6828822040785</v>
      </c>
      <c r="S56" s="713" t="n">
        <f aca="false">S18/S37*1000</f>
        <v>23.4894572747428</v>
      </c>
      <c r="T56" s="713" t="n">
        <f aca="false">T18/T37*1000</f>
        <v>23.7160301022327</v>
      </c>
      <c r="U56" s="713" t="n">
        <f aca="false">U18/U37*1000</f>
        <v>27.3390354431256</v>
      </c>
      <c r="V56" s="713"/>
      <c r="W56" s="713"/>
      <c r="X56" s="714" t="n">
        <f aca="false">U56</f>
        <v>27.3390354431256</v>
      </c>
      <c r="Y56" s="707" t="n">
        <v>-0.0135</v>
      </c>
      <c r="Z56" s="713" t="n">
        <f aca="false">U56*(1+Y56)</f>
        <v>26.9699584646434</v>
      </c>
      <c r="AA56" s="713" t="n">
        <f aca="false">Z56*(1+Y56)</f>
        <v>26.6058640253707</v>
      </c>
      <c r="AB56" s="693"/>
      <c r="AP56" s="693"/>
      <c r="AQ56" s="701"/>
      <c r="AR56" s="714" t="n">
        <f aca="false">AR18/AR37*1000</f>
        <v>24.4873875978734</v>
      </c>
      <c r="AS56" s="714" t="n">
        <f aca="false">AS18/AS37*1000</f>
        <v>27.976115936093</v>
      </c>
      <c r="AT56" s="714" t="n">
        <f aca="false">AT18/AT37*1000</f>
        <v>39.5364489305768</v>
      </c>
      <c r="AU56" s="714" t="n">
        <f aca="false">AU18/AU37*1000</f>
        <v>27.5984383709557</v>
      </c>
      <c r="AV56" s="714" t="n">
        <f aca="false">AV18/AV37*1000</f>
        <v>27.2258594529478</v>
      </c>
      <c r="AW56" s="716"/>
      <c r="AX56" s="716"/>
      <c r="AY56" s="716"/>
      <c r="AZ56" s="716"/>
      <c r="BA56" s="716"/>
      <c r="BB56" s="716"/>
      <c r="BC56" s="716"/>
      <c r="BD56" s="716"/>
      <c r="BE56" s="716"/>
      <c r="BF56" s="716"/>
    </row>
    <row r="57" customFormat="false" ht="12.75" hidden="false" customHeight="false" outlineLevel="0" collapsed="false">
      <c r="G57" s="324"/>
      <c r="H57" s="324"/>
      <c r="I57" s="324"/>
      <c r="J57" s="324"/>
      <c r="K57" s="324"/>
      <c r="L57" s="324"/>
      <c r="M57" s="451"/>
      <c r="N57" s="721"/>
      <c r="O57" s="451"/>
      <c r="P57" s="324"/>
      <c r="Q57" s="689"/>
      <c r="R57" s="324"/>
      <c r="S57" s="324"/>
      <c r="T57" s="324"/>
      <c r="U57" s="324"/>
      <c r="V57" s="324"/>
      <c r="W57" s="324"/>
      <c r="X57" s="451"/>
      <c r="Y57" s="688"/>
      <c r="Z57" s="451"/>
      <c r="AA57" s="451"/>
      <c r="AB57" s="693"/>
      <c r="AP57" s="693"/>
      <c r="AQ57" s="451"/>
      <c r="AR57" s="451"/>
      <c r="AS57" s="451"/>
      <c r="AT57" s="451"/>
    </row>
    <row r="58" customFormat="false" ht="12.75" hidden="false" customHeight="false" outlineLevel="0" collapsed="false">
      <c r="A58" s="0" t="s">
        <v>797</v>
      </c>
      <c r="G58" s="324"/>
      <c r="H58" s="324"/>
      <c r="I58" s="324"/>
      <c r="J58" s="324"/>
      <c r="K58" s="324"/>
      <c r="L58" s="324"/>
      <c r="M58" s="451"/>
      <c r="N58" s="721"/>
      <c r="O58" s="451"/>
      <c r="P58" s="451"/>
      <c r="Q58" s="689"/>
      <c r="R58" s="324"/>
      <c r="S58" s="324"/>
      <c r="T58" s="324"/>
      <c r="U58" s="324"/>
      <c r="V58" s="324"/>
      <c r="W58" s="324"/>
      <c r="X58" s="451"/>
      <c r="Y58" s="688"/>
      <c r="Z58" s="451"/>
      <c r="AA58" s="451"/>
      <c r="AB58" s="693"/>
      <c r="AP58" s="693"/>
      <c r="AQ58" s="451"/>
      <c r="AR58" s="451"/>
      <c r="AS58" s="451"/>
      <c r="AT58" s="451"/>
    </row>
    <row r="59" customFormat="false" ht="12.75" hidden="false" customHeight="false" outlineLevel="0" collapsed="false">
      <c r="G59" s="324"/>
      <c r="H59" s="324"/>
      <c r="I59" s="324"/>
      <c r="J59" s="324"/>
      <c r="K59" s="324"/>
      <c r="L59" s="324"/>
      <c r="M59" s="451"/>
      <c r="N59" s="721"/>
      <c r="O59" s="451"/>
      <c r="P59" s="324"/>
      <c r="Q59" s="689"/>
      <c r="R59" s="324"/>
      <c r="S59" s="324"/>
      <c r="T59" s="324"/>
      <c r="U59" s="324"/>
      <c r="V59" s="324"/>
      <c r="W59" s="324"/>
      <c r="X59" s="451"/>
      <c r="Y59" s="688"/>
      <c r="Z59" s="451"/>
      <c r="AA59" s="451"/>
      <c r="AB59" s="693"/>
      <c r="AP59" s="693"/>
      <c r="AQ59" s="451"/>
      <c r="AR59" s="451"/>
      <c r="AS59" s="451"/>
      <c r="AT59" s="451"/>
    </row>
    <row r="60" customFormat="false" ht="12.75" hidden="false" customHeight="false" outlineLevel="0" collapsed="false">
      <c r="A60" s="28" t="s">
        <v>798</v>
      </c>
      <c r="G60" s="324"/>
      <c r="H60" s="324"/>
      <c r="I60" s="324"/>
      <c r="J60" s="324"/>
      <c r="K60" s="324"/>
      <c r="L60" s="324"/>
      <c r="M60" s="451"/>
      <c r="N60" s="721"/>
      <c r="O60" s="451"/>
      <c r="P60" s="324"/>
      <c r="Q60" s="689"/>
      <c r="R60" s="324"/>
      <c r="S60" s="324"/>
      <c r="T60" s="324"/>
      <c r="U60" s="324"/>
      <c r="V60" s="324"/>
      <c r="W60" s="324"/>
      <c r="X60" s="451"/>
      <c r="Y60" s="688"/>
      <c r="Z60" s="451"/>
      <c r="AA60" s="451"/>
      <c r="AB60" s="693"/>
      <c r="AP60" s="693"/>
      <c r="AQ60" s="451"/>
      <c r="AR60" s="451"/>
      <c r="AS60" s="451"/>
      <c r="AT60" s="451"/>
    </row>
    <row r="61" customFormat="false" ht="12.75" hidden="false" customHeight="false" outlineLevel="0" collapsed="false">
      <c r="A61" s="28"/>
      <c r="B61" s="0" t="s">
        <v>799</v>
      </c>
      <c r="G61" s="658" t="n">
        <v>335.499514</v>
      </c>
      <c r="H61" s="658" t="n">
        <v>391.034333</v>
      </c>
      <c r="I61" s="658" t="n">
        <v>408.496331</v>
      </c>
      <c r="J61" s="658" t="n">
        <v>331.802993</v>
      </c>
      <c r="K61" s="324"/>
      <c r="L61" s="324"/>
      <c r="M61" s="451"/>
      <c r="N61" s="721"/>
      <c r="O61" s="451"/>
      <c r="P61" s="324"/>
      <c r="Q61" s="689"/>
      <c r="R61" s="324"/>
      <c r="S61" s="324"/>
      <c r="T61" s="324"/>
      <c r="U61" s="324"/>
      <c r="V61" s="324"/>
      <c r="W61" s="324"/>
      <c r="X61" s="451"/>
      <c r="Y61" s="688"/>
      <c r="Z61" s="451"/>
      <c r="AA61" s="451"/>
      <c r="AB61" s="693"/>
      <c r="AP61" s="693"/>
      <c r="AQ61" s="451"/>
      <c r="AR61" s="451"/>
      <c r="AS61" s="451"/>
      <c r="AT61" s="451"/>
    </row>
    <row r="62" customFormat="false" ht="12.75" hidden="false" customHeight="false" outlineLevel="0" collapsed="false">
      <c r="A62" s="28"/>
      <c r="B62" s="0" t="s">
        <v>782</v>
      </c>
      <c r="G62" s="324" t="n">
        <f aca="false">G63-G61</f>
        <v>75.352486</v>
      </c>
      <c r="H62" s="324" t="n">
        <f aca="false">H63-H61</f>
        <v>83.006667</v>
      </c>
      <c r="I62" s="324" t="n">
        <f aca="false">I63-I61</f>
        <v>87.123669</v>
      </c>
      <c r="J62" s="324" t="n">
        <f aca="false">J63-J61</f>
        <v>71.628007</v>
      </c>
      <c r="K62" s="324"/>
      <c r="L62" s="324"/>
      <c r="M62" s="451"/>
      <c r="N62" s="721"/>
      <c r="O62" s="451"/>
      <c r="P62" s="324"/>
      <c r="Q62" s="689"/>
      <c r="R62" s="324"/>
      <c r="S62" s="324"/>
      <c r="T62" s="324"/>
      <c r="U62" s="324"/>
      <c r="V62" s="324"/>
      <c r="W62" s="324"/>
      <c r="X62" s="451"/>
      <c r="Y62" s="688"/>
      <c r="Z62" s="451"/>
      <c r="AA62" s="451"/>
      <c r="AB62" s="693"/>
      <c r="AP62" s="693"/>
      <c r="AQ62" s="451"/>
      <c r="AR62" s="451"/>
      <c r="AS62" s="451"/>
      <c r="AT62" s="451"/>
    </row>
    <row r="63" customFormat="false" ht="13.5" hidden="false" customHeight="false" outlineLevel="0" collapsed="false">
      <c r="C63" s="0" t="s">
        <v>800</v>
      </c>
      <c r="G63" s="702" t="n">
        <v>410.852</v>
      </c>
      <c r="H63" s="702" t="n">
        <v>474.041</v>
      </c>
      <c r="I63" s="702" t="n">
        <v>495.62</v>
      </c>
      <c r="J63" s="702" t="n">
        <v>403.431</v>
      </c>
      <c r="K63" s="702" t="n">
        <v>255.855</v>
      </c>
      <c r="L63" s="702" t="n">
        <v>223.932</v>
      </c>
      <c r="M63" s="722" t="n">
        <f aca="false">J63+K63-L63</f>
        <v>435.354</v>
      </c>
      <c r="N63" s="721" t="n">
        <v>0.02</v>
      </c>
      <c r="O63" s="663" t="n">
        <f aca="false">J63*(1+N63)</f>
        <v>411.49962</v>
      </c>
      <c r="P63" s="663" t="n">
        <f aca="false">O63*(1+N63)</f>
        <v>419.7296124</v>
      </c>
      <c r="Q63" s="689"/>
      <c r="R63" s="662" t="n">
        <v>0</v>
      </c>
      <c r="S63" s="662" t="n">
        <v>0</v>
      </c>
      <c r="T63" s="662" t="n">
        <v>0</v>
      </c>
      <c r="U63" s="662" t="n">
        <v>0</v>
      </c>
      <c r="V63" s="662"/>
      <c r="W63" s="662"/>
      <c r="X63" s="662" t="n">
        <v>0</v>
      </c>
      <c r="Y63" s="705" t="n">
        <v>0.02</v>
      </c>
      <c r="Z63" s="662" t="n">
        <v>0</v>
      </c>
      <c r="AA63" s="662" t="n">
        <v>0</v>
      </c>
      <c r="AB63" s="661"/>
      <c r="AP63" s="661"/>
      <c r="AQ63" s="661"/>
      <c r="AR63" s="662" t="n">
        <f aca="false">T63+I63+AQ63+AF63</f>
        <v>495.62</v>
      </c>
      <c r="AS63" s="662" t="n">
        <f aca="false">U63+J63+AG63</f>
        <v>403.431</v>
      </c>
      <c r="AT63" s="662" t="n">
        <f aca="false">X63+M63+AJ63</f>
        <v>435.354</v>
      </c>
      <c r="AU63" s="662" t="n">
        <f aca="false">O63+Z63+AL63</f>
        <v>411.49962</v>
      </c>
      <c r="AV63" s="662" t="n">
        <f aca="false">P63+AA63+AM63</f>
        <v>419.7296124</v>
      </c>
      <c r="AW63" s="661"/>
    </row>
    <row r="64" customFormat="false" ht="13.5" hidden="false" customHeight="false" outlineLevel="0" collapsed="false">
      <c r="G64" s="324"/>
      <c r="H64" s="324"/>
      <c r="I64" s="324"/>
      <c r="J64" s="324"/>
      <c r="K64" s="324"/>
      <c r="L64" s="324"/>
      <c r="M64" s="324"/>
      <c r="N64" s="721"/>
      <c r="O64" s="324"/>
      <c r="P64" s="324"/>
      <c r="Q64" s="689"/>
      <c r="R64" s="324"/>
      <c r="S64" s="324"/>
      <c r="T64" s="324"/>
      <c r="U64" s="324"/>
      <c r="V64" s="324"/>
      <c r="W64" s="324"/>
      <c r="X64" s="324"/>
      <c r="Y64" s="688"/>
      <c r="Z64" s="324"/>
      <c r="AA64" s="324"/>
      <c r="AB64" s="324"/>
      <c r="AP64" s="324"/>
      <c r="AQ64" s="324"/>
      <c r="AR64" s="451"/>
      <c r="AS64" s="324"/>
    </row>
    <row r="65" customFormat="false" ht="12.75" hidden="false" customHeight="false" outlineLevel="0" collapsed="false">
      <c r="D65" s="28"/>
      <c r="I65" s="324"/>
      <c r="J65" s="324"/>
      <c r="K65" s="324"/>
      <c r="L65" s="324"/>
      <c r="M65" s="451"/>
      <c r="N65" s="721"/>
      <c r="O65" s="451"/>
      <c r="P65" s="451"/>
      <c r="Q65" s="693"/>
      <c r="R65" s="451"/>
      <c r="S65" s="451"/>
      <c r="T65" s="451"/>
      <c r="U65" s="451"/>
      <c r="V65" s="451"/>
      <c r="W65" s="451"/>
      <c r="X65" s="451"/>
      <c r="Y65" s="688"/>
      <c r="Z65" s="451"/>
      <c r="AA65" s="451"/>
      <c r="AB65" s="324"/>
      <c r="AP65" s="324"/>
      <c r="AQ65" s="324"/>
      <c r="AR65" s="451"/>
      <c r="AS65" s="451"/>
      <c r="AT65" s="451"/>
      <c r="AV65" s="713"/>
    </row>
    <row r="66" customFormat="false" ht="12.75" hidden="false" customHeight="false" outlineLevel="0" collapsed="false">
      <c r="I66" s="324"/>
      <c r="J66" s="324"/>
      <c r="K66" s="324"/>
      <c r="L66" s="324"/>
      <c r="M66" s="451"/>
      <c r="N66" s="721"/>
      <c r="O66" s="451"/>
      <c r="P66" s="324"/>
      <c r="Q66" s="689"/>
      <c r="R66" s="324"/>
      <c r="S66" s="324"/>
      <c r="T66" s="324"/>
      <c r="U66" s="324"/>
      <c r="V66" s="324"/>
      <c r="W66" s="324"/>
      <c r="X66" s="451"/>
      <c r="Y66" s="688"/>
      <c r="Z66" s="451"/>
      <c r="AA66" s="451"/>
      <c r="AB66" s="324"/>
      <c r="AP66" s="324"/>
      <c r="AQ66" s="324"/>
      <c r="AR66" s="451"/>
      <c r="AS66" s="451"/>
      <c r="AT66" s="451"/>
    </row>
    <row r="67" customFormat="false" ht="12.75" hidden="false" customHeight="false" outlineLevel="0" collapsed="false">
      <c r="D67" s="28"/>
      <c r="G67" s="324"/>
      <c r="H67" s="324"/>
      <c r="I67" s="324"/>
      <c r="J67" s="324"/>
      <c r="K67" s="324"/>
      <c r="L67" s="324"/>
      <c r="M67" s="451"/>
      <c r="N67" s="721"/>
      <c r="O67" s="451"/>
      <c r="P67" s="324"/>
      <c r="Q67" s="689"/>
      <c r="R67" s="324"/>
      <c r="S67" s="324"/>
      <c r="T67" s="324"/>
      <c r="U67" s="324"/>
      <c r="V67" s="324"/>
      <c r="W67" s="324"/>
      <c r="X67" s="451"/>
      <c r="Y67" s="688"/>
      <c r="Z67" s="451"/>
      <c r="AA67" s="451"/>
      <c r="AB67" s="324"/>
      <c r="AP67" s="324"/>
      <c r="AQ67" s="324"/>
      <c r="AR67" s="451"/>
      <c r="AS67" s="451"/>
      <c r="AT67" s="451"/>
    </row>
    <row r="68" customFormat="false" ht="13.5" hidden="false" customHeight="false" outlineLevel="0" collapsed="false">
      <c r="D68" s="28" t="s">
        <v>754</v>
      </c>
      <c r="G68" s="663" t="n">
        <f aca="false">+G63+G25</f>
        <v>1804.485233</v>
      </c>
      <c r="H68" s="663" t="n">
        <f aca="false">+H63+H25</f>
        <v>1929.759076</v>
      </c>
      <c r="I68" s="663" t="n">
        <f aca="false">+I63+I25</f>
        <v>2403.751949</v>
      </c>
      <c r="J68" s="663" t="n">
        <f aca="false">+J63+J25</f>
        <v>2810.890546</v>
      </c>
      <c r="K68" s="702" t="n">
        <f aca="false">K63+K25</f>
        <v>1914.459</v>
      </c>
      <c r="L68" s="702" t="n">
        <v>1356.879</v>
      </c>
      <c r="M68" s="663" t="n">
        <f aca="false">J68+K68-L68</f>
        <v>3368.470546</v>
      </c>
      <c r="N68" s="721"/>
      <c r="O68" s="663" t="n">
        <f aca="false">O63+O25</f>
        <v>2914.38851206937</v>
      </c>
      <c r="P68" s="663" t="n">
        <f aca="false">P63+P25</f>
        <v>2966.59021701836</v>
      </c>
      <c r="Q68" s="689"/>
      <c r="R68" s="663" t="n">
        <f aca="false">R63+R25</f>
        <v>1248.035</v>
      </c>
      <c r="S68" s="663" t="n">
        <f aca="false">S63+S25</f>
        <v>1331.962</v>
      </c>
      <c r="T68" s="663" t="n">
        <f aca="false">T63+T25</f>
        <v>1960.395</v>
      </c>
      <c r="U68" s="663" t="n">
        <f aca="false">U63+U25</f>
        <v>2403.038</v>
      </c>
      <c r="V68" s="663"/>
      <c r="W68" s="663"/>
      <c r="X68" s="663" t="n">
        <f aca="false">X63+X25</f>
        <v>2437.168</v>
      </c>
      <c r="Y68" s="705"/>
      <c r="Z68" s="663" t="n">
        <f aca="false">Z63+Z25</f>
        <v>2478.22081108393</v>
      </c>
      <c r="AA68" s="663" t="n">
        <f aca="false">AA63+AA25</f>
        <v>2538.45525699321</v>
      </c>
      <c r="AB68" s="661"/>
      <c r="AP68" s="661"/>
      <c r="AQ68" s="661"/>
      <c r="AR68" s="663" t="n">
        <f aca="false">AR63+AR25</f>
        <v>4364.146949</v>
      </c>
      <c r="AS68" s="663" t="n">
        <f aca="false">AS63+AS25</f>
        <v>5213.928546</v>
      </c>
      <c r="AT68" s="663" t="n">
        <f aca="false">AT63+AT25</f>
        <v>5805.638546</v>
      </c>
      <c r="AU68" s="663" t="n">
        <f aca="false">AU63+AU25</f>
        <v>5392.6093231533</v>
      </c>
      <c r="AV68" s="663" t="n">
        <f aca="false">AV63+AV25</f>
        <v>5505.04547401157</v>
      </c>
      <c r="AW68" s="661"/>
      <c r="AX68" s="661"/>
      <c r="AY68" s="661"/>
      <c r="AZ68" s="661"/>
      <c r="BA68" s="661"/>
      <c r="BB68" s="661"/>
      <c r="BC68" s="661"/>
      <c r="BD68" s="661"/>
      <c r="BE68" s="661"/>
    </row>
    <row r="69" customFormat="false" ht="13.5" hidden="false" customHeight="false" outlineLevel="0" collapsed="false">
      <c r="D69" s="28"/>
      <c r="G69" s="664"/>
      <c r="H69" s="664"/>
      <c r="I69" s="664"/>
      <c r="J69" s="664"/>
      <c r="K69" s="664"/>
      <c r="L69" s="664"/>
      <c r="M69" s="664"/>
      <c r="N69" s="721"/>
      <c r="O69" s="664"/>
      <c r="P69" s="664"/>
      <c r="Q69" s="689"/>
      <c r="R69" s="664"/>
      <c r="S69" s="664"/>
      <c r="T69" s="664"/>
      <c r="U69" s="664"/>
      <c r="V69" s="664"/>
      <c r="W69" s="664"/>
      <c r="X69" s="664"/>
      <c r="Y69" s="705"/>
      <c r="Z69" s="664"/>
      <c r="AA69" s="664"/>
      <c r="AB69" s="661"/>
      <c r="AP69" s="661"/>
      <c r="AQ69" s="661"/>
      <c r="AR69" s="664"/>
      <c r="AS69" s="664"/>
      <c r="AT69" s="664"/>
      <c r="AU69" s="664"/>
      <c r="AV69" s="664"/>
      <c r="AW69" s="661"/>
      <c r="AX69" s="661"/>
      <c r="AY69" s="661"/>
      <c r="AZ69" s="661"/>
      <c r="BA69" s="661"/>
      <c r="BB69" s="661"/>
      <c r="BC69" s="661"/>
      <c r="BD69" s="661"/>
      <c r="BE69" s="661"/>
    </row>
    <row r="70" customFormat="false" ht="12.75" hidden="false" customHeight="false" outlineLevel="0" collapsed="false">
      <c r="A70" s="0" t="s">
        <v>801</v>
      </c>
      <c r="G70" s="324"/>
      <c r="H70" s="324"/>
      <c r="I70" s="324"/>
      <c r="J70" s="324"/>
      <c r="K70" s="324"/>
      <c r="L70" s="324"/>
      <c r="M70" s="451"/>
      <c r="N70" s="721"/>
      <c r="O70" s="451"/>
      <c r="P70" s="324"/>
      <c r="Q70" s="689"/>
      <c r="R70" s="324"/>
      <c r="S70" s="324"/>
      <c r="T70" s="324"/>
      <c r="U70" s="324"/>
      <c r="V70" s="324"/>
      <c r="W70" s="324"/>
      <c r="X70" s="451"/>
      <c r="Y70" s="688"/>
      <c r="Z70" s="451"/>
      <c r="AA70" s="451"/>
      <c r="AB70" s="324"/>
      <c r="AP70" s="324"/>
      <c r="AQ70" s="324"/>
      <c r="AR70" s="451"/>
      <c r="AS70" s="324"/>
    </row>
    <row r="71" customFormat="false" ht="12.75" hidden="false" customHeight="false" outlineLevel="0" collapsed="false">
      <c r="A71" s="28" t="s">
        <v>802</v>
      </c>
      <c r="G71" s="324"/>
      <c r="H71" s="324"/>
      <c r="I71" s="324"/>
      <c r="J71" s="324"/>
      <c r="K71" s="324"/>
      <c r="L71" s="324"/>
      <c r="M71" s="451"/>
      <c r="N71" s="721"/>
      <c r="O71" s="451"/>
      <c r="P71" s="324"/>
      <c r="Q71" s="689"/>
      <c r="R71" s="324"/>
      <c r="S71" s="324"/>
      <c r="T71" s="324"/>
      <c r="U71" s="324"/>
      <c r="V71" s="324"/>
      <c r="W71" s="324"/>
      <c r="X71" s="451"/>
      <c r="Y71" s="688"/>
      <c r="Z71" s="451"/>
      <c r="AA71" s="451"/>
      <c r="AB71" s="324"/>
      <c r="AP71" s="324"/>
      <c r="AQ71" s="324"/>
      <c r="AR71" s="451"/>
      <c r="AS71" s="324"/>
      <c r="AT71" s="324"/>
    </row>
    <row r="72" customFormat="false" ht="12.75" hidden="false" customHeight="false" outlineLevel="0" collapsed="false">
      <c r="A72" s="0" t="s">
        <v>803</v>
      </c>
      <c r="G72" s="658" t="n">
        <v>327.353</v>
      </c>
      <c r="H72" s="658" t="n">
        <v>349</v>
      </c>
      <c r="I72" s="658" t="n">
        <v>300</v>
      </c>
      <c r="J72" s="658" t="n">
        <v>339</v>
      </c>
      <c r="K72" s="658" t="n">
        <v>826.258</v>
      </c>
      <c r="L72" s="658" t="n">
        <v>166</v>
      </c>
      <c r="M72" s="723" t="n">
        <f aca="false">J72+K72-L72</f>
        <v>999.258</v>
      </c>
      <c r="N72" s="707" t="n">
        <v>0</v>
      </c>
      <c r="O72" s="665" t="n">
        <f aca="false">J72+J72*N72</f>
        <v>339</v>
      </c>
      <c r="P72" s="665" t="n">
        <f aca="false">O72*(1+N72)</f>
        <v>339</v>
      </c>
      <c r="Q72" s="688"/>
      <c r="R72" s="658" t="n">
        <v>389.401</v>
      </c>
      <c r="S72" s="658" t="n">
        <v>364</v>
      </c>
      <c r="T72" s="658" t="n">
        <v>393</v>
      </c>
      <c r="U72" s="658" t="n">
        <v>382</v>
      </c>
      <c r="V72" s="658" t="n">
        <v>211</v>
      </c>
      <c r="W72" s="658" t="n">
        <v>170</v>
      </c>
      <c r="X72" s="451" t="n">
        <f aca="false">U72+58.155-48.347</f>
        <v>391.808</v>
      </c>
      <c r="Y72" s="707" t="n">
        <v>0</v>
      </c>
      <c r="Z72" s="665" t="n">
        <f aca="false">U72+U72*Y72</f>
        <v>382</v>
      </c>
      <c r="AA72" s="665" t="n">
        <f aca="false">Z72*(1+Y72)</f>
        <v>382</v>
      </c>
      <c r="AB72" s="324"/>
      <c r="AP72" s="324"/>
      <c r="AQ72" s="658"/>
      <c r="AR72" s="451" t="n">
        <f aca="false">T72+I72+AQ72+AF72</f>
        <v>693</v>
      </c>
      <c r="AS72" s="451" t="n">
        <f aca="false">U72+J72+AG72</f>
        <v>721</v>
      </c>
      <c r="AT72" s="451" t="n">
        <f aca="false">X72+M72+AJ72</f>
        <v>1391.066</v>
      </c>
      <c r="AU72" s="665" t="n">
        <f aca="false">O72+Z72+AL72</f>
        <v>721</v>
      </c>
      <c r="AV72" s="665" t="n">
        <f aca="false">P72+AA72+AM72</f>
        <v>721</v>
      </c>
    </row>
    <row r="73" customFormat="false" ht="12.75" hidden="false" customHeight="false" outlineLevel="0" collapsed="false">
      <c r="A73" s="0" t="s">
        <v>804</v>
      </c>
      <c r="G73" s="658" t="n">
        <v>56.445</v>
      </c>
      <c r="H73" s="658" t="n">
        <v>68</v>
      </c>
      <c r="I73" s="658" t="n">
        <v>596</v>
      </c>
      <c r="J73" s="658" t="n">
        <v>1068</v>
      </c>
      <c r="K73" s="658" t="n">
        <v>253</v>
      </c>
      <c r="L73" s="658" t="n">
        <v>478</v>
      </c>
      <c r="M73" s="723" t="n">
        <f aca="false">J73+K73-L73</f>
        <v>843</v>
      </c>
      <c r="N73" s="724" t="n">
        <v>0</v>
      </c>
      <c r="O73" s="709" t="n">
        <f aca="false">J73*(1+N73)</f>
        <v>1068</v>
      </c>
      <c r="P73" s="709" t="n">
        <f aca="false">O73*(1+N73)</f>
        <v>1068</v>
      </c>
      <c r="Q73" s="688"/>
      <c r="R73" s="658" t="n">
        <v>63.866</v>
      </c>
      <c r="S73" s="658" t="n">
        <v>156</v>
      </c>
      <c r="T73" s="658" t="n">
        <v>666</v>
      </c>
      <c r="U73" s="658" t="n">
        <v>1166</v>
      </c>
      <c r="V73" s="658" t="n">
        <v>261</v>
      </c>
      <c r="W73" s="658" t="n">
        <v>488</v>
      </c>
      <c r="X73" s="451" t="n">
        <f aca="false">U73+39.317-17.989</f>
        <v>1187.328</v>
      </c>
      <c r="Y73" s="707" t="n">
        <v>0</v>
      </c>
      <c r="Z73" s="665" t="n">
        <f aca="false">U73*(1+Y73)</f>
        <v>1166</v>
      </c>
      <c r="AA73" s="665" t="n">
        <f aca="false">Z73*(1+Y73)</f>
        <v>1166</v>
      </c>
      <c r="AB73" s="324"/>
      <c r="AP73" s="324"/>
      <c r="AQ73" s="658"/>
      <c r="AR73" s="451" t="n">
        <f aca="false">T73+I73+AQ73+AF73</f>
        <v>1262</v>
      </c>
      <c r="AS73" s="451" t="n">
        <f aca="false">U73+J73+AG73</f>
        <v>2234</v>
      </c>
      <c r="AT73" s="451" t="n">
        <f aca="false">X73+M73+AJ73</f>
        <v>2030.328</v>
      </c>
      <c r="AU73" s="665" t="n">
        <f aca="false">O73+Z73+AL73</f>
        <v>2234</v>
      </c>
      <c r="AV73" s="665" t="n">
        <f aca="false">P73+AA73+AM73</f>
        <v>2234</v>
      </c>
    </row>
    <row r="74" customFormat="false" ht="15" hidden="false" customHeight="false" outlineLevel="0" collapsed="false">
      <c r="A74" s="0" t="s">
        <v>805</v>
      </c>
      <c r="G74" s="708" t="n">
        <v>206.25</v>
      </c>
      <c r="H74" s="658" t="n">
        <v>249.116</v>
      </c>
      <c r="I74" s="658" t="n">
        <v>266.123</v>
      </c>
      <c r="J74" s="658" t="n">
        <v>199.683</v>
      </c>
      <c r="K74" s="658" t="n">
        <v>99.306</v>
      </c>
      <c r="L74" s="658" t="n">
        <v>118.245</v>
      </c>
      <c r="M74" s="723" t="n">
        <f aca="false">J74+K74-L74</f>
        <v>180.744</v>
      </c>
      <c r="N74" s="707" t="n">
        <v>0</v>
      </c>
      <c r="O74" s="665" t="n">
        <f aca="false">J74+J74*N74</f>
        <v>199.683</v>
      </c>
      <c r="P74" s="665" t="n">
        <f aca="false">O74*(1+N74)</f>
        <v>199.683</v>
      </c>
      <c r="Q74" s="725"/>
      <c r="R74" s="658"/>
      <c r="S74" s="658"/>
      <c r="T74" s="658"/>
      <c r="U74" s="658"/>
      <c r="V74" s="658"/>
      <c r="W74" s="658"/>
      <c r="X74" s="658" t="n">
        <v>0</v>
      </c>
      <c r="Y74" s="688" t="n">
        <v>-0.02</v>
      </c>
      <c r="Z74" s="658" t="n">
        <f aca="false">U74+U74*Y74</f>
        <v>0</v>
      </c>
      <c r="AA74" s="658" t="n">
        <f aca="false">Z74*(1+Y74)</f>
        <v>0</v>
      </c>
      <c r="AB74" s="660"/>
      <c r="AP74" s="660"/>
      <c r="AQ74" s="660"/>
      <c r="AR74" s="451" t="n">
        <f aca="false">T74+I74+AQ74+AF74</f>
        <v>266.123</v>
      </c>
      <c r="AS74" s="451" t="n">
        <f aca="false">U74+J74+AG74</f>
        <v>199.683</v>
      </c>
      <c r="AT74" s="451" t="n">
        <f aca="false">X74+M74+AJ74</f>
        <v>180.744</v>
      </c>
      <c r="AU74" s="665" t="n">
        <f aca="false">O74+Z74+AL74</f>
        <v>199.683</v>
      </c>
      <c r="AV74" s="665" t="n">
        <f aca="false">P74+AA74+AM74</f>
        <v>199.683</v>
      </c>
    </row>
    <row r="75" customFormat="false" ht="15" hidden="false" customHeight="false" outlineLevel="0" collapsed="false">
      <c r="G75" s="451" t="n">
        <v>0</v>
      </c>
      <c r="H75" s="451" t="n">
        <v>0</v>
      </c>
      <c r="I75" s="451" t="n">
        <v>0</v>
      </c>
      <c r="J75" s="451" t="n">
        <v>0</v>
      </c>
      <c r="K75" s="451" t="n">
        <v>0</v>
      </c>
      <c r="L75" s="451" t="n">
        <v>0</v>
      </c>
      <c r="M75" s="723" t="n">
        <v>0</v>
      </c>
      <c r="N75" s="697" t="n">
        <v>-0.02</v>
      </c>
      <c r="O75" s="665" t="n">
        <f aca="false">M75+M75*N75</f>
        <v>0</v>
      </c>
      <c r="P75" s="665" t="n">
        <f aca="false">O75*(1+N75)</f>
        <v>0</v>
      </c>
      <c r="Q75" s="725"/>
      <c r="R75" s="658" t="n">
        <v>0</v>
      </c>
      <c r="S75" s="658" t="n">
        <v>0</v>
      </c>
      <c r="T75" s="658" t="n">
        <v>0</v>
      </c>
      <c r="U75" s="658" t="n">
        <v>0</v>
      </c>
      <c r="V75" s="658"/>
      <c r="W75" s="658"/>
      <c r="X75" s="658" t="n">
        <v>0</v>
      </c>
      <c r="Y75" s="688" t="n">
        <v>-0.02</v>
      </c>
      <c r="Z75" s="658" t="n">
        <f aca="false">X75+X75*Y75</f>
        <v>0</v>
      </c>
      <c r="AA75" s="658" t="n">
        <f aca="false">Z75*(1+Y75)</f>
        <v>0</v>
      </c>
      <c r="AB75" s="660"/>
      <c r="AP75" s="660"/>
      <c r="AQ75" s="660"/>
      <c r="AR75" s="451" t="n">
        <f aca="false">T75+I75+AQ75+AF75</f>
        <v>0</v>
      </c>
      <c r="AS75" s="451" t="n">
        <f aca="false">U75+J75+AG75</f>
        <v>0</v>
      </c>
      <c r="AT75" s="451" t="n">
        <f aca="false">X75+M75+AJ75</f>
        <v>0</v>
      </c>
      <c r="AU75" s="665" t="n">
        <f aca="false">O75+Z75+AL75</f>
        <v>0</v>
      </c>
      <c r="AV75" s="665" t="n">
        <f aca="false">P75+AA75+AM75</f>
        <v>0</v>
      </c>
    </row>
    <row r="76" customFormat="false" ht="15" hidden="false" customHeight="false" outlineLevel="0" collapsed="false">
      <c r="G76" s="660" t="n">
        <v>0</v>
      </c>
      <c r="H76" s="660" t="n">
        <v>0</v>
      </c>
      <c r="I76" s="660" t="n">
        <v>0</v>
      </c>
      <c r="J76" s="660" t="n">
        <v>0</v>
      </c>
      <c r="K76" s="726" t="n">
        <v>0</v>
      </c>
      <c r="L76" s="726" t="n">
        <v>0</v>
      </c>
      <c r="M76" s="727" t="n">
        <v>0</v>
      </c>
      <c r="N76" s="697" t="n">
        <v>-0.02</v>
      </c>
      <c r="O76" s="666" t="n">
        <f aca="false">M76+M76*N76</f>
        <v>0</v>
      </c>
      <c r="P76" s="666" t="n">
        <f aca="false">O76*(1+N76)</f>
        <v>0</v>
      </c>
      <c r="Q76" s="725"/>
      <c r="R76" s="726" t="n">
        <v>0</v>
      </c>
      <c r="S76" s="726" t="n">
        <v>0</v>
      </c>
      <c r="T76" s="726" t="n">
        <v>0</v>
      </c>
      <c r="U76" s="726" t="n">
        <v>0</v>
      </c>
      <c r="V76" s="726" t="n">
        <v>0</v>
      </c>
      <c r="W76" s="726" t="n">
        <v>0</v>
      </c>
      <c r="X76" s="726" t="n">
        <v>0</v>
      </c>
      <c r="Y76" s="725" t="n">
        <v>-0.02</v>
      </c>
      <c r="Z76" s="726" t="n">
        <f aca="false">X76+X76*Y76</f>
        <v>0</v>
      </c>
      <c r="AA76" s="726" t="n">
        <f aca="false">Z76*(1+Y76)</f>
        <v>0</v>
      </c>
      <c r="AB76" s="660"/>
      <c r="AP76" s="660"/>
      <c r="AQ76" s="660"/>
      <c r="AR76" s="660" t="n">
        <f aca="false">T76+I76+AQ76+AF76</f>
        <v>0</v>
      </c>
      <c r="AS76" s="660" t="n">
        <f aca="false">U76+J76+AG76</f>
        <v>0</v>
      </c>
      <c r="AT76" s="660" t="n">
        <f aca="false">X76+M76+AJ76</f>
        <v>0</v>
      </c>
      <c r="AU76" s="666" t="n">
        <f aca="false">O76+Z76+AL76</f>
        <v>0</v>
      </c>
      <c r="AV76" s="666" t="n">
        <f aca="false">P76+AA76+AM76</f>
        <v>0</v>
      </c>
    </row>
    <row r="77" customFormat="false" ht="15" hidden="false" customHeight="false" outlineLevel="0" collapsed="false">
      <c r="G77" s="451" t="n">
        <f aca="false">SUM(G72:G76)</f>
        <v>590.048</v>
      </c>
      <c r="H77" s="451" t="n">
        <f aca="false">SUM(H72:H76)</f>
        <v>666.116</v>
      </c>
      <c r="I77" s="451" t="n">
        <f aca="false">SUM(I72:I76)</f>
        <v>1162.123</v>
      </c>
      <c r="J77" s="451" t="n">
        <f aca="false">SUM(J72:J76)</f>
        <v>1606.683</v>
      </c>
      <c r="K77" s="451" t="n">
        <f aca="false">SUM(K72:K76)</f>
        <v>1178.564</v>
      </c>
      <c r="L77" s="451" t="n">
        <f aca="false">SUM(L72:L76)</f>
        <v>762.245</v>
      </c>
      <c r="M77" s="451" t="n">
        <f aca="false">SUM(M72:M76)</f>
        <v>2023.002</v>
      </c>
      <c r="N77" s="721"/>
      <c r="O77" s="451" t="n">
        <f aca="false">SUM(O72:O76)</f>
        <v>1606.683</v>
      </c>
      <c r="P77" s="451" t="n">
        <f aca="false">SUM(P72:P76)</f>
        <v>1606.683</v>
      </c>
      <c r="Q77" s="725"/>
      <c r="R77" s="451" t="n">
        <f aca="false">SUM(R72:R76)</f>
        <v>453.267</v>
      </c>
      <c r="S77" s="451" t="n">
        <f aca="false">SUM(S72:S76)</f>
        <v>520</v>
      </c>
      <c r="T77" s="451" t="n">
        <f aca="false">SUM(T72:T76)</f>
        <v>1059</v>
      </c>
      <c r="U77" s="451" t="n">
        <f aca="false">SUM(U72:U76)</f>
        <v>1548</v>
      </c>
      <c r="V77" s="658" t="n">
        <v>472.084</v>
      </c>
      <c r="W77" s="658" t="n">
        <v>657.838</v>
      </c>
      <c r="X77" s="451" t="n">
        <f aca="false">SUM(X72:X76)</f>
        <v>1579.136</v>
      </c>
      <c r="Y77" s="688"/>
      <c r="Z77" s="451" t="n">
        <f aca="false">SUM(Z72:Z76)</f>
        <v>1548</v>
      </c>
      <c r="AA77" s="451" t="n">
        <f aca="false">SUM(AA72:AA76)</f>
        <v>1548</v>
      </c>
      <c r="AB77" s="660"/>
      <c r="AP77" s="660"/>
      <c r="AQ77" s="660"/>
      <c r="AR77" s="451" t="n">
        <f aca="false">SUM(AR72:AR76)</f>
        <v>2221.123</v>
      </c>
      <c r="AS77" s="451" t="n">
        <f aca="false">SUM(AS72:AS76)</f>
        <v>3154.683</v>
      </c>
      <c r="AT77" s="451" t="n">
        <f aca="false">SUM(AT72:AT76)</f>
        <v>3602.138</v>
      </c>
      <c r="AU77" s="451" t="n">
        <f aca="false">SUM(AU72:AU76)</f>
        <v>3154.683</v>
      </c>
      <c r="AV77" s="451" t="n">
        <f aca="false">SUM(AV72:AV76)</f>
        <v>3154.683</v>
      </c>
    </row>
    <row r="78" customFormat="false" ht="15" hidden="false" customHeight="false" outlineLevel="0" collapsed="false">
      <c r="G78" s="451"/>
      <c r="H78" s="451"/>
      <c r="I78" s="451"/>
      <c r="J78" s="451"/>
      <c r="K78" s="451"/>
      <c r="L78" s="451"/>
      <c r="M78" s="451"/>
      <c r="N78" s="721"/>
      <c r="O78" s="451"/>
      <c r="P78" s="451"/>
      <c r="Q78" s="725"/>
      <c r="R78" s="451"/>
      <c r="S78" s="451"/>
      <c r="T78" s="451"/>
      <c r="U78" s="451"/>
      <c r="V78" s="451"/>
      <c r="W78" s="451"/>
      <c r="X78" s="451"/>
      <c r="Y78" s="688"/>
      <c r="Z78" s="451"/>
      <c r="AA78" s="451"/>
      <c r="AB78" s="660"/>
      <c r="AP78" s="660"/>
      <c r="AQ78" s="660"/>
      <c r="AR78" s="451"/>
      <c r="AS78" s="451"/>
      <c r="AT78" s="451"/>
    </row>
    <row r="79" customFormat="false" ht="12.75" hidden="false" customHeight="false" outlineLevel="0" collapsed="false">
      <c r="A79" s="28" t="s">
        <v>430</v>
      </c>
      <c r="G79" s="324"/>
      <c r="H79" s="324"/>
      <c r="I79" s="324"/>
      <c r="J79" s="324"/>
      <c r="K79" s="324"/>
      <c r="L79" s="324"/>
      <c r="M79" s="451"/>
      <c r="N79" s="693" t="s">
        <v>806</v>
      </c>
      <c r="O79" s="451"/>
      <c r="P79" s="324"/>
      <c r="Q79" s="689"/>
      <c r="R79" s="324"/>
      <c r="S79" s="324"/>
      <c r="T79" s="324"/>
      <c r="U79" s="324"/>
      <c r="V79" s="324"/>
      <c r="W79" s="324"/>
      <c r="X79" s="451"/>
      <c r="Y79" s="688" t="s">
        <v>806</v>
      </c>
      <c r="Z79" s="451"/>
      <c r="AA79" s="451"/>
      <c r="AB79" s="324"/>
      <c r="AP79" s="324"/>
      <c r="AQ79" s="324"/>
      <c r="AR79" s="451"/>
      <c r="AS79" s="324"/>
      <c r="AT79" s="324"/>
    </row>
    <row r="80" customFormat="false" ht="12.75" hidden="false" customHeight="false" outlineLevel="0" collapsed="false">
      <c r="A80" s="0" t="s">
        <v>612</v>
      </c>
      <c r="F80" s="728"/>
      <c r="G80" s="729" t="n">
        <v>226.986472898557</v>
      </c>
      <c r="H80" s="729" t="n">
        <v>256.767977861829</v>
      </c>
      <c r="I80" s="729" t="n">
        <v>239.713312661553</v>
      </c>
      <c r="J80" s="729" t="n">
        <v>233.305953492147</v>
      </c>
      <c r="K80" s="729" t="n">
        <v>284.63326326042</v>
      </c>
      <c r="L80" s="729" t="n">
        <v>330.516767447209</v>
      </c>
      <c r="M80" s="729" t="n">
        <v>187.422449305358</v>
      </c>
      <c r="N80" s="721" t="n">
        <v>-0.02</v>
      </c>
      <c r="O80" s="709" t="n">
        <f aca="false">J80+J80*N80</f>
        <v>228.639834422304</v>
      </c>
      <c r="P80" s="709" t="n">
        <f aca="false">O80*(1+N80)</f>
        <v>224.067037733858</v>
      </c>
      <c r="Q80" s="693"/>
      <c r="R80" s="658" t="n">
        <v>228.508</v>
      </c>
      <c r="S80" s="658" t="n">
        <v>268.478</v>
      </c>
      <c r="T80" s="658" t="n">
        <v>344.878</v>
      </c>
      <c r="U80" s="658" t="n">
        <v>409</v>
      </c>
      <c r="V80" s="658" t="n">
        <v>170</v>
      </c>
      <c r="W80" s="658" t="n">
        <v>243</v>
      </c>
      <c r="X80" s="658" t="n">
        <f aca="false">U80+27.142-29.973</f>
        <v>406.169</v>
      </c>
      <c r="Y80" s="688" t="n">
        <v>-0.02</v>
      </c>
      <c r="Z80" s="709" t="n">
        <f aca="false">U80+U80*Y80</f>
        <v>400.82</v>
      </c>
      <c r="AA80" s="709" t="n">
        <f aca="false">Z80*(1+Y80)</f>
        <v>392.8036</v>
      </c>
      <c r="AB80" s="658"/>
      <c r="AP80" s="658"/>
      <c r="AQ80" s="658"/>
      <c r="AR80" s="451" t="n">
        <f aca="false">T80+I80+AQ80+AF80</f>
        <v>584.591312661553</v>
      </c>
      <c r="AS80" s="451" t="n">
        <f aca="false">U80+J80+AG80</f>
        <v>642.305953492147</v>
      </c>
      <c r="AT80" s="451" t="n">
        <f aca="false">X80+M80+AJ80</f>
        <v>593.591449305358</v>
      </c>
      <c r="AU80" s="665" t="n">
        <f aca="false">O80+Z80+AL80</f>
        <v>629.459834422304</v>
      </c>
      <c r="AV80" s="665" t="n">
        <f aca="false">P80+AA80+AM80</f>
        <v>616.870637733858</v>
      </c>
      <c r="AW80" s="324"/>
      <c r="AX80" s="324"/>
      <c r="AY80" s="324"/>
      <c r="AZ80" s="324"/>
      <c r="BA80" s="324"/>
      <c r="BB80" s="324"/>
      <c r="BC80" s="324"/>
      <c r="BD80" s="324"/>
      <c r="BE80" s="324"/>
      <c r="BF80" s="324"/>
      <c r="BG80" s="324"/>
      <c r="BH80" s="324"/>
      <c r="BI80" s="324"/>
      <c r="BJ80" s="324"/>
      <c r="BK80" s="324"/>
      <c r="BL80" s="324"/>
      <c r="BM80" s="324"/>
      <c r="BN80" s="324"/>
      <c r="BO80" s="324"/>
      <c r="BP80" s="324"/>
      <c r="BQ80" s="324"/>
    </row>
    <row r="81" customFormat="false" ht="12.75" hidden="false" customHeight="false" outlineLevel="0" collapsed="false">
      <c r="A81" s="0" t="s">
        <v>575</v>
      </c>
      <c r="F81" s="728"/>
      <c r="G81" s="729" t="n">
        <v>64.8875271014434</v>
      </c>
      <c r="H81" s="729" t="n">
        <v>73.4010221381708</v>
      </c>
      <c r="I81" s="729" t="n">
        <v>68.5256873384468</v>
      </c>
      <c r="J81" s="729" t="n">
        <v>66.6940465078528</v>
      </c>
      <c r="K81" s="729" t="n">
        <v>81.3667367395804</v>
      </c>
      <c r="L81" s="729" t="n">
        <v>94.4832325527914</v>
      </c>
      <c r="M81" s="729" t="n">
        <v>53.5775506946417</v>
      </c>
      <c r="N81" s="721" t="n">
        <v>-0.02</v>
      </c>
      <c r="O81" s="709" t="n">
        <f aca="false">J81+J81*N81</f>
        <v>65.3601655776957</v>
      </c>
      <c r="P81" s="709" t="n">
        <f aca="false">O81*(1+N81)</f>
        <v>64.0529622661418</v>
      </c>
      <c r="Q81" s="689"/>
      <c r="R81" s="324" t="n">
        <v>0</v>
      </c>
      <c r="S81" s="324" t="n">
        <v>0</v>
      </c>
      <c r="T81" s="324" t="n">
        <v>0</v>
      </c>
      <c r="U81" s="324" t="n">
        <v>0</v>
      </c>
      <c r="V81" s="324"/>
      <c r="W81" s="324"/>
      <c r="X81" s="324" t="n">
        <v>0</v>
      </c>
      <c r="Y81" s="688" t="n">
        <v>-0.02</v>
      </c>
      <c r="Z81" s="324" t="n">
        <f aca="false">U81+U81*Y81</f>
        <v>0</v>
      </c>
      <c r="AA81" s="324" t="n">
        <f aca="false">Z81*(1+Y81)</f>
        <v>0</v>
      </c>
      <c r="AB81" s="324"/>
      <c r="AP81" s="324"/>
      <c r="AQ81" s="324"/>
      <c r="AR81" s="451" t="n">
        <f aca="false">T81+I81+AQ81+AF81</f>
        <v>68.5256873384468</v>
      </c>
      <c r="AS81" s="451" t="n">
        <f aca="false">U81+J81+AG81</f>
        <v>66.6940465078528</v>
      </c>
      <c r="AT81" s="451" t="n">
        <f aca="false">X81+M81+AJ81</f>
        <v>53.5775506946417</v>
      </c>
      <c r="AU81" s="665" t="n">
        <f aca="false">O81+Z81+AL81</f>
        <v>65.3601655776957</v>
      </c>
      <c r="AV81" s="665" t="n">
        <f aca="false">P81+AA81+AM81</f>
        <v>64.0529622661418</v>
      </c>
      <c r="AW81" s="324"/>
      <c r="AX81" s="324" t="n">
        <f aca="false">AR77+AR83+AR88</f>
        <v>3050.711458</v>
      </c>
      <c r="AY81" s="324"/>
      <c r="AZ81" s="324"/>
      <c r="BA81" s="324"/>
      <c r="BB81" s="324"/>
      <c r="BC81" s="324"/>
      <c r="BD81" s="324"/>
      <c r="BE81" s="324"/>
      <c r="BF81" s="324"/>
      <c r="BG81" s="324"/>
      <c r="BH81" s="324"/>
      <c r="BI81" s="324"/>
      <c r="BJ81" s="324"/>
      <c r="BK81" s="324"/>
      <c r="BL81" s="324"/>
      <c r="BM81" s="324"/>
      <c r="BN81" s="324"/>
      <c r="BO81" s="324"/>
      <c r="BP81" s="324"/>
      <c r="BQ81" s="324"/>
    </row>
    <row r="82" customFormat="false" ht="15" hidden="false" customHeight="false" outlineLevel="0" collapsed="false">
      <c r="A82" s="0" t="s">
        <v>779</v>
      </c>
      <c r="F82" s="324"/>
      <c r="G82" s="726" t="n">
        <v>0</v>
      </c>
      <c r="H82" s="726" t="n">
        <v>0</v>
      </c>
      <c r="I82" s="726" t="n">
        <v>0</v>
      </c>
      <c r="J82" s="726" t="n">
        <v>0</v>
      </c>
      <c r="K82" s="726" t="n">
        <v>0</v>
      </c>
      <c r="L82" s="726" t="n">
        <v>0</v>
      </c>
      <c r="M82" s="730" t="n">
        <v>0</v>
      </c>
      <c r="N82" s="721" t="n">
        <v>-0.02</v>
      </c>
      <c r="O82" s="666" t="n">
        <f aca="false">J82+J82*N82</f>
        <v>0</v>
      </c>
      <c r="P82" s="666" t="n">
        <f aca="false">O82*(1+N82)</f>
        <v>0</v>
      </c>
      <c r="Q82" s="688"/>
      <c r="R82" s="726" t="n">
        <v>0</v>
      </c>
      <c r="S82" s="726" t="n">
        <v>0</v>
      </c>
      <c r="T82" s="726" t="n">
        <v>0</v>
      </c>
      <c r="U82" s="726" t="n">
        <v>0</v>
      </c>
      <c r="V82" s="726" t="n">
        <v>0</v>
      </c>
      <c r="W82" s="726" t="n">
        <v>0</v>
      </c>
      <c r="X82" s="726" t="n">
        <v>0</v>
      </c>
      <c r="Y82" s="725" t="n">
        <v>-0.02</v>
      </c>
      <c r="Z82" s="726" t="n">
        <f aca="false">U82+U82*Y82</f>
        <v>0</v>
      </c>
      <c r="AA82" s="726" t="n">
        <f aca="false">Z82*(1+Y82)</f>
        <v>0</v>
      </c>
      <c r="AB82" s="324"/>
      <c r="AP82" s="324"/>
      <c r="AQ82" s="324"/>
      <c r="AR82" s="660" t="n">
        <f aca="false">T82+I82+AQ82+AF82</f>
        <v>0</v>
      </c>
      <c r="AS82" s="660" t="n">
        <f aca="false">U82+J82+AG82</f>
        <v>0</v>
      </c>
      <c r="AT82" s="660" t="n">
        <f aca="false">X82+M82+AJ82</f>
        <v>0</v>
      </c>
      <c r="AU82" s="666" t="n">
        <f aca="false">O82+Z82+AL82</f>
        <v>0</v>
      </c>
      <c r="AV82" s="666" t="n">
        <f aca="false">P82+AA82+AM82</f>
        <v>0</v>
      </c>
      <c r="AW82" s="324"/>
      <c r="AX82" s="324"/>
      <c r="AY82" s="324"/>
      <c r="AZ82" s="324"/>
      <c r="BA82" s="324"/>
      <c r="BB82" s="324"/>
      <c r="BC82" s="324"/>
      <c r="BD82" s="324"/>
      <c r="BE82" s="324"/>
      <c r="BF82" s="324"/>
      <c r="BG82" s="324"/>
      <c r="BH82" s="324"/>
      <c r="BI82" s="324"/>
      <c r="BJ82" s="324"/>
      <c r="BK82" s="324"/>
      <c r="BL82" s="324"/>
      <c r="BM82" s="324"/>
      <c r="BN82" s="324"/>
      <c r="BO82" s="324"/>
      <c r="BP82" s="324"/>
      <c r="BQ82" s="324"/>
    </row>
    <row r="83" customFormat="false" ht="12.75" hidden="false" customHeight="false" outlineLevel="0" collapsed="false">
      <c r="G83" s="324" t="n">
        <f aca="false">SUM(G80:G82)+G77</f>
        <v>881.922</v>
      </c>
      <c r="H83" s="324" t="n">
        <f aca="false">SUM(H80:H82)+H77</f>
        <v>996.285</v>
      </c>
      <c r="I83" s="324" t="n">
        <f aca="false">SUM(I80:I82)+I77</f>
        <v>1470.362</v>
      </c>
      <c r="J83" s="324" t="n">
        <f aca="false">SUM(J80:J82)+J77</f>
        <v>1906.683</v>
      </c>
      <c r="K83" s="658"/>
      <c r="L83" s="658"/>
      <c r="M83" s="324" t="n">
        <f aca="false">SUM(M80:M82)+M77</f>
        <v>2264.002</v>
      </c>
      <c r="N83" s="721"/>
      <c r="O83" s="324" t="n">
        <f aca="false">SUM(O80:O82)+O77</f>
        <v>1900.683</v>
      </c>
      <c r="P83" s="324" t="n">
        <f aca="false">SUM(P80:P82)+P77</f>
        <v>1894.803</v>
      </c>
      <c r="Q83" s="689"/>
      <c r="R83" s="324" t="n">
        <f aca="false">SUM(R80:R82)+R77</f>
        <v>681.775</v>
      </c>
      <c r="S83" s="324" t="n">
        <f aca="false">SUM(S80:S82)+S77</f>
        <v>788.478</v>
      </c>
      <c r="T83" s="324" t="n">
        <f aca="false">SUM(T80:T82)+T77</f>
        <v>1403.878</v>
      </c>
      <c r="U83" s="324" t="n">
        <f aca="false">SUM(U80:U82)+U77</f>
        <v>1957</v>
      </c>
      <c r="V83" s="451" t="n">
        <f aca="false">SUM(V80:V82)</f>
        <v>170</v>
      </c>
      <c r="W83" s="451" t="n">
        <f aca="false">SUM(W80:W82)</f>
        <v>243</v>
      </c>
      <c r="X83" s="324" t="n">
        <f aca="false">SUM(X80:X82)</f>
        <v>406.169</v>
      </c>
      <c r="Y83" s="688"/>
      <c r="Z83" s="324" t="n">
        <f aca="false">SUM(Z80:Z82)+Z77</f>
        <v>1948.82</v>
      </c>
      <c r="AA83" s="324" t="n">
        <f aca="false">SUM(AA80:AA82)+AA77</f>
        <v>1940.8036</v>
      </c>
      <c r="AB83" s="324"/>
      <c r="AP83" s="324"/>
      <c r="AQ83" s="324"/>
      <c r="AR83" s="324" t="n">
        <f aca="false">SUM(AR80:AR82)</f>
        <v>653.117</v>
      </c>
      <c r="AS83" s="324" t="n">
        <f aca="false">SUM(AS80:AS82)</f>
        <v>709</v>
      </c>
      <c r="AT83" s="324" t="n">
        <f aca="false">SUM(AT80:AT82)</f>
        <v>647.169</v>
      </c>
      <c r="AU83" s="324" t="n">
        <f aca="false">SUM(AU80:AU82)</f>
        <v>694.82</v>
      </c>
      <c r="AV83" s="324" t="n">
        <f aca="false">SUM(AV80:AV82)</f>
        <v>680.9236</v>
      </c>
      <c r="AW83" s="324"/>
      <c r="AX83" s="324"/>
      <c r="AY83" s="324"/>
      <c r="AZ83" s="324"/>
      <c r="BA83" s="324"/>
      <c r="BB83" s="324"/>
      <c r="BC83" s="324"/>
      <c r="BD83" s="324"/>
      <c r="BE83" s="324"/>
      <c r="BF83" s="324"/>
      <c r="BG83" s="324"/>
      <c r="BH83" s="324"/>
      <c r="BI83" s="324"/>
      <c r="BJ83" s="324"/>
      <c r="BK83" s="324"/>
      <c r="BL83" s="324"/>
      <c r="BM83" s="324"/>
      <c r="BN83" s="324"/>
      <c r="BO83" s="324"/>
      <c r="BP83" s="324"/>
      <c r="BQ83" s="324"/>
    </row>
    <row r="84" customFormat="false" ht="12.75" hidden="false" customHeight="false" outlineLevel="0" collapsed="false">
      <c r="A84" s="28" t="s">
        <v>807</v>
      </c>
      <c r="G84" s="324"/>
      <c r="H84" s="324"/>
      <c r="I84" s="324"/>
      <c r="J84" s="324"/>
      <c r="K84" s="324"/>
      <c r="L84" s="324"/>
      <c r="M84" s="451"/>
      <c r="N84" s="721"/>
      <c r="O84" s="451"/>
      <c r="P84" s="324"/>
      <c r="Q84" s="689"/>
      <c r="R84" s="324"/>
      <c r="S84" s="324"/>
      <c r="T84" s="324"/>
      <c r="U84" s="324"/>
      <c r="V84" s="324"/>
      <c r="W84" s="324"/>
      <c r="X84" s="451"/>
      <c r="Y84" s="688"/>
      <c r="Z84" s="451"/>
      <c r="AA84" s="451"/>
      <c r="AB84" s="324"/>
      <c r="AP84" s="324"/>
      <c r="AQ84" s="324"/>
      <c r="AR84" s="451"/>
      <c r="AS84" s="324"/>
      <c r="AT84" s="324"/>
    </row>
    <row r="85" customFormat="false" ht="12.75" hidden="false" customHeight="false" outlineLevel="0" collapsed="false">
      <c r="A85" s="0" t="s">
        <v>612</v>
      </c>
      <c r="G85" s="658" t="n">
        <v>83.101844</v>
      </c>
      <c r="H85" s="658" t="n">
        <v>84.518422</v>
      </c>
      <c r="I85" s="658" t="n">
        <v>78.470909</v>
      </c>
      <c r="J85" s="658" t="n">
        <v>80.899151</v>
      </c>
      <c r="K85" s="658"/>
      <c r="L85" s="658"/>
      <c r="M85" s="723" t="n">
        <f aca="false">J85/J$88*M$88</f>
        <v>98.2968178817204</v>
      </c>
      <c r="N85" s="721" t="n">
        <v>-0.02</v>
      </c>
      <c r="O85" s="709" t="n">
        <f aca="false">J85+J85*N85</f>
        <v>79.28116798</v>
      </c>
      <c r="P85" s="709" t="n">
        <f aca="false">O85*(1+N85)</f>
        <v>77.6955446204</v>
      </c>
      <c r="Q85" s="689"/>
      <c r="R85" s="658" t="n">
        <v>87.492342</v>
      </c>
      <c r="S85" s="658" t="n">
        <v>97.702937</v>
      </c>
      <c r="T85" s="658" t="n">
        <v>86.374458</v>
      </c>
      <c r="U85" s="658" t="n">
        <v>99.829149</v>
      </c>
      <c r="V85" s="658" t="n">
        <v>60</v>
      </c>
      <c r="W85" s="658" t="n">
        <v>47</v>
      </c>
      <c r="X85" s="451" t="n">
        <f aca="false">U85/U$88*X$88</f>
        <v>112.829149</v>
      </c>
      <c r="Y85" s="688" t="n">
        <v>-0.02</v>
      </c>
      <c r="Z85" s="665" t="n">
        <f aca="false">U85+U85*Y85</f>
        <v>97.83256602</v>
      </c>
      <c r="AA85" s="665" t="n">
        <f aca="false">Z85*(1+Y85)</f>
        <v>95.8759146996</v>
      </c>
      <c r="AB85" s="324"/>
      <c r="AP85" s="324"/>
      <c r="AQ85" s="324"/>
      <c r="AR85" s="451" t="n">
        <f aca="false">T85+I85+AQ85+AF85</f>
        <v>164.845367</v>
      </c>
      <c r="AS85" s="451" t="n">
        <f aca="false">U85+J85+AG85</f>
        <v>180.7283</v>
      </c>
      <c r="AT85" s="451" t="n">
        <f aca="false">X85+M85+AJ85</f>
        <v>211.12596688172</v>
      </c>
      <c r="AU85" s="665" t="n">
        <f aca="false">O85+Z85+AL85</f>
        <v>177.113734</v>
      </c>
      <c r="AV85" s="665" t="n">
        <f aca="false">P85+AA85+AM85</f>
        <v>173.57145932</v>
      </c>
    </row>
    <row r="86" customFormat="false" ht="12.75" hidden="false" customHeight="false" outlineLevel="0" collapsed="false">
      <c r="A86" s="0" t="s">
        <v>575</v>
      </c>
      <c r="G86" s="658" t="n">
        <v>6.820403</v>
      </c>
      <c r="H86" s="658" t="n">
        <v>6.515269</v>
      </c>
      <c r="I86" s="658" t="n">
        <v>5.782816</v>
      </c>
      <c r="J86" s="658" t="n">
        <v>6.208175</v>
      </c>
      <c r="K86" s="658"/>
      <c r="L86" s="658"/>
      <c r="M86" s="723" t="n">
        <f aca="false">J86/J$88*M$88</f>
        <v>7.54326639784946</v>
      </c>
      <c r="N86" s="721" t="n">
        <v>-0.02</v>
      </c>
      <c r="O86" s="709" t="n">
        <f aca="false">J86+J86*N86</f>
        <v>6.0840115</v>
      </c>
      <c r="P86" s="709" t="n">
        <f aca="false">O86*(1+N86)</f>
        <v>5.96233127</v>
      </c>
      <c r="Q86" s="688"/>
      <c r="R86" s="324" t="n">
        <v>0</v>
      </c>
      <c r="S86" s="324" t="n">
        <v>0</v>
      </c>
      <c r="T86" s="324" t="n">
        <v>0</v>
      </c>
      <c r="U86" s="324" t="n">
        <v>0</v>
      </c>
      <c r="V86" s="324"/>
      <c r="W86" s="324"/>
      <c r="X86" s="324" t="n">
        <f aca="false">U86/U$88*X$88</f>
        <v>0</v>
      </c>
      <c r="Y86" s="688" t="n">
        <v>-0.02</v>
      </c>
      <c r="Z86" s="324" t="n">
        <f aca="false">U86+U86*Y86</f>
        <v>0</v>
      </c>
      <c r="AA86" s="324" t="n">
        <f aca="false">Z86*(1+Y86)</f>
        <v>0</v>
      </c>
      <c r="AB86" s="324"/>
      <c r="AP86" s="324"/>
      <c r="AQ86" s="324"/>
      <c r="AR86" s="451" t="n">
        <f aca="false">T86+I86+AQ86+AF86</f>
        <v>5.782816</v>
      </c>
      <c r="AS86" s="451" t="n">
        <f aca="false">U86+J86+AG86</f>
        <v>6.208175</v>
      </c>
      <c r="AT86" s="451" t="n">
        <f aca="false">X86+M86+AJ86</f>
        <v>7.54326639784946</v>
      </c>
      <c r="AU86" s="665" t="n">
        <f aca="false">O86+Z86+AL86</f>
        <v>6.0840115</v>
      </c>
      <c r="AV86" s="665" t="n">
        <f aca="false">P86+AA86+AM86</f>
        <v>5.96233127</v>
      </c>
    </row>
    <row r="87" customFormat="false" ht="15" hidden="false" customHeight="false" outlineLevel="0" collapsed="false">
      <c r="A87" s="0" t="s">
        <v>779</v>
      </c>
      <c r="F87" s="324"/>
      <c r="G87" s="660" t="n">
        <f aca="false">G88-G85-G86</f>
        <v>4.765753</v>
      </c>
      <c r="H87" s="660" t="n">
        <f aca="false">H88-H85-H86</f>
        <v>5.171309</v>
      </c>
      <c r="I87" s="660" t="n">
        <f aca="false">I88-I85-I86</f>
        <v>5.84327499999999</v>
      </c>
      <c r="J87" s="660" t="n">
        <f aca="false">J88-J85-J86</f>
        <v>5.892674</v>
      </c>
      <c r="K87" s="726" t="n">
        <v>0</v>
      </c>
      <c r="L87" s="726" t="n">
        <v>0</v>
      </c>
      <c r="M87" s="730" t="n">
        <f aca="false">J87/J$88*M$88</f>
        <v>7.1599157204301</v>
      </c>
      <c r="N87" s="721" t="n">
        <v>-0.02</v>
      </c>
      <c r="O87" s="666" t="n">
        <f aca="false">J87+J87*N87</f>
        <v>5.77482052</v>
      </c>
      <c r="P87" s="666" t="n">
        <f aca="false">O87*(1+N87)</f>
        <v>5.6593241096</v>
      </c>
      <c r="Q87" s="689"/>
      <c r="R87" s="660" t="n">
        <v>0</v>
      </c>
      <c r="S87" s="660" t="n">
        <v>0</v>
      </c>
      <c r="T87" s="660" t="n">
        <v>0</v>
      </c>
      <c r="U87" s="660" t="n">
        <v>0</v>
      </c>
      <c r="V87" s="660" t="n">
        <v>0</v>
      </c>
      <c r="W87" s="660" t="n">
        <v>0</v>
      </c>
      <c r="X87" s="660" t="n">
        <f aca="false">U87/U$88*X$88</f>
        <v>0</v>
      </c>
      <c r="Y87" s="725" t="n">
        <v>-0.02</v>
      </c>
      <c r="Z87" s="726" t="n">
        <f aca="false">U87+U87*Y87</f>
        <v>0</v>
      </c>
      <c r="AA87" s="726" t="n">
        <f aca="false">Z87*(1+Y87)</f>
        <v>0</v>
      </c>
      <c r="AB87" s="324"/>
      <c r="AP87" s="324"/>
      <c r="AQ87" s="324"/>
      <c r="AR87" s="660" t="n">
        <f aca="false">T87+I87+AQ87+AF87</f>
        <v>5.84327499999999</v>
      </c>
      <c r="AS87" s="660" t="n">
        <f aca="false">U87+J87+AG87</f>
        <v>5.892674</v>
      </c>
      <c r="AT87" s="660" t="n">
        <f aca="false">X87+M87+AJ87</f>
        <v>7.1599157204301</v>
      </c>
      <c r="AU87" s="666" t="n">
        <f aca="false">O87+Z87+AL87</f>
        <v>5.77482052</v>
      </c>
      <c r="AV87" s="666" t="n">
        <f aca="false">P87+AA87+AM87</f>
        <v>5.6593241096</v>
      </c>
    </row>
    <row r="88" customFormat="false" ht="12.75" hidden="false" customHeight="false" outlineLevel="0" collapsed="false">
      <c r="G88" s="658" t="n">
        <v>94.688</v>
      </c>
      <c r="H88" s="658" t="n">
        <v>96.205</v>
      </c>
      <c r="I88" s="658" t="n">
        <v>90.097</v>
      </c>
      <c r="J88" s="658" t="n">
        <v>93</v>
      </c>
      <c r="K88" s="658" t="n">
        <v>115</v>
      </c>
      <c r="L88" s="658" t="n">
        <v>95</v>
      </c>
      <c r="M88" s="324" t="n">
        <f aca="false">J88+K88-L88</f>
        <v>113</v>
      </c>
      <c r="N88" s="721"/>
      <c r="O88" s="324" t="n">
        <f aca="false">SUM(O85:O87)</f>
        <v>91.14</v>
      </c>
      <c r="P88" s="324" t="n">
        <f aca="false">SUM(P85:P87)</f>
        <v>89.3172</v>
      </c>
      <c r="Q88" s="689"/>
      <c r="R88" s="324" t="n">
        <f aca="false">SUM(R85:R87)</f>
        <v>87.492342</v>
      </c>
      <c r="S88" s="324" t="n">
        <f aca="false">SUM(S85:S87)</f>
        <v>97.702937</v>
      </c>
      <c r="T88" s="324" t="n">
        <f aca="false">SUM(T85:T87)</f>
        <v>86.374458</v>
      </c>
      <c r="U88" s="324" t="n">
        <f aca="false">SUM(U85:U87)</f>
        <v>99.829149</v>
      </c>
      <c r="V88" s="324" t="n">
        <f aca="false">SUM(V85:V87)</f>
        <v>60</v>
      </c>
      <c r="W88" s="324" t="n">
        <f aca="false">SUM(W85:W87)</f>
        <v>47</v>
      </c>
      <c r="X88" s="324" t="n">
        <f aca="false">U88+V88-W88</f>
        <v>112.829149</v>
      </c>
      <c r="Y88" s="688"/>
      <c r="Z88" s="324" t="n">
        <f aca="false">SUM(Z85:Z87)</f>
        <v>97.83256602</v>
      </c>
      <c r="AA88" s="324" t="n">
        <f aca="false">SUM(AA85:AA87)</f>
        <v>95.8759146996</v>
      </c>
      <c r="AB88" s="324"/>
      <c r="AP88" s="324"/>
      <c r="AQ88" s="324"/>
      <c r="AR88" s="324" t="n">
        <f aca="false">SUM(AR85:AR87)</f>
        <v>176.471458</v>
      </c>
      <c r="AS88" s="324" t="n">
        <f aca="false">SUM(AS85:AS87)</f>
        <v>192.829149</v>
      </c>
      <c r="AT88" s="324" t="n">
        <f aca="false">SUM(AT85:AT87)</f>
        <v>225.829149</v>
      </c>
      <c r="AU88" s="324" t="n">
        <f aca="false">SUM(AU85:AU87)</f>
        <v>188.97256602</v>
      </c>
      <c r="AV88" s="324" t="n">
        <f aca="false">SUM(AV85:AV87)</f>
        <v>185.1931146996</v>
      </c>
    </row>
    <row r="89" customFormat="false" ht="12.75" hidden="false" customHeight="false" outlineLevel="0" collapsed="false">
      <c r="A89" s="28" t="s">
        <v>808</v>
      </c>
      <c r="G89" s="324"/>
      <c r="H89" s="324"/>
      <c r="I89" s="324"/>
      <c r="J89" s="324"/>
      <c r="K89" s="324"/>
      <c r="L89" s="324"/>
      <c r="M89" s="451"/>
      <c r="N89" s="721"/>
      <c r="O89" s="451"/>
      <c r="P89" s="324"/>
      <c r="Q89" s="689"/>
      <c r="R89" s="324"/>
      <c r="S89" s="324"/>
      <c r="T89" s="324"/>
      <c r="U89" s="324"/>
      <c r="V89" s="324"/>
      <c r="W89" s="324"/>
      <c r="X89" s="451"/>
      <c r="Y89" s="688"/>
      <c r="Z89" s="451"/>
      <c r="AA89" s="451"/>
      <c r="AB89" s="324"/>
      <c r="AP89" s="324"/>
      <c r="AQ89" s="324"/>
      <c r="AR89" s="451"/>
      <c r="AS89" s="324"/>
      <c r="AT89" s="324"/>
      <c r="AU89" s="324"/>
      <c r="AV89" s="324"/>
    </row>
    <row r="90" customFormat="false" ht="12.75" hidden="false" customHeight="false" outlineLevel="0" collapsed="false">
      <c r="A90" s="0" t="s">
        <v>612</v>
      </c>
      <c r="G90" s="658" t="n">
        <v>138.364138</v>
      </c>
      <c r="H90" s="658" t="n">
        <v>141.035587</v>
      </c>
      <c r="I90" s="658" t="n">
        <v>145.433983</v>
      </c>
      <c r="J90" s="658" t="n">
        <v>159.42674</v>
      </c>
      <c r="K90" s="658"/>
      <c r="L90" s="658"/>
      <c r="M90" s="723" t="n">
        <f aca="false">J90/J$93*M$93</f>
        <v>164.170108672538</v>
      </c>
      <c r="N90" s="721"/>
      <c r="O90" s="451" t="n">
        <f aca="false">J90</f>
        <v>159.42674</v>
      </c>
      <c r="P90" s="451" t="n">
        <f aca="false">O90</f>
        <v>159.42674</v>
      </c>
      <c r="Q90" s="689"/>
      <c r="R90" s="658" t="n">
        <v>110.17283</v>
      </c>
      <c r="S90" s="658" t="n">
        <v>113.996113</v>
      </c>
      <c r="T90" s="658" t="n">
        <v>134.559208</v>
      </c>
      <c r="U90" s="658" t="n">
        <v>137.616538</v>
      </c>
      <c r="V90" s="658"/>
      <c r="W90" s="658"/>
      <c r="X90" s="451" t="n">
        <f aca="false">U90/U$93*X$93</f>
        <v>140.903006883204</v>
      </c>
      <c r="Y90" s="688"/>
      <c r="Z90" s="665" t="n">
        <f aca="false">U90</f>
        <v>137.616538</v>
      </c>
      <c r="AA90" s="665" t="n">
        <f aca="false">Z90</f>
        <v>137.616538</v>
      </c>
      <c r="AB90" s="324"/>
      <c r="AP90" s="324"/>
      <c r="AQ90" s="324"/>
      <c r="AR90" s="451" t="n">
        <f aca="false">T90+I90+AQ90+AF90</f>
        <v>279.993191</v>
      </c>
      <c r="AS90" s="451" t="n">
        <f aca="false">U90+J90+AG90</f>
        <v>297.043278</v>
      </c>
      <c r="AT90" s="451" t="n">
        <f aca="false">X90+M90+AJ90</f>
        <v>305.073115555742</v>
      </c>
      <c r="AU90" s="665" t="n">
        <f aca="false">O90+Z90+AL90</f>
        <v>297.043278</v>
      </c>
      <c r="AV90" s="665" t="n">
        <f aca="false">P90+AA90+AM90</f>
        <v>297.043278</v>
      </c>
    </row>
    <row r="91" customFormat="false" ht="12.75" hidden="false" customHeight="false" outlineLevel="0" collapsed="false">
      <c r="A91" s="0" t="s">
        <v>575</v>
      </c>
      <c r="G91" s="658" t="n">
        <v>16.942751</v>
      </c>
      <c r="H91" s="658" t="n">
        <v>17.454757</v>
      </c>
      <c r="I91" s="658" t="n">
        <v>17.349835</v>
      </c>
      <c r="J91" s="658" t="n">
        <v>17.872567</v>
      </c>
      <c r="K91" s="658"/>
      <c r="L91" s="658"/>
      <c r="M91" s="723" t="n">
        <f aca="false">J91/J$93*M$93</f>
        <v>18.4043233064115</v>
      </c>
      <c r="N91" s="731" t="s">
        <v>809</v>
      </c>
      <c r="O91" s="451" t="n">
        <f aca="false">J91</f>
        <v>17.872567</v>
      </c>
      <c r="P91" s="451" t="n">
        <f aca="false">O91</f>
        <v>17.872567</v>
      </c>
      <c r="Q91" s="689"/>
      <c r="R91" s="658" t="n">
        <v>0</v>
      </c>
      <c r="S91" s="658" t="n">
        <v>0</v>
      </c>
      <c r="T91" s="658" t="n">
        <v>0</v>
      </c>
      <c r="U91" s="658" t="n">
        <v>0</v>
      </c>
      <c r="V91" s="658"/>
      <c r="W91" s="658"/>
      <c r="X91" s="658" t="n">
        <f aca="false">U91/U$93*X$93</f>
        <v>0</v>
      </c>
      <c r="Y91" s="688" t="s">
        <v>809</v>
      </c>
      <c r="Z91" s="658" t="n">
        <f aca="false">U91</f>
        <v>0</v>
      </c>
      <c r="AA91" s="658" t="n">
        <f aca="false">Z91</f>
        <v>0</v>
      </c>
      <c r="AB91" s="324"/>
      <c r="AP91" s="324"/>
      <c r="AQ91" s="658"/>
      <c r="AR91" s="451" t="n">
        <f aca="false">T91+I91+AQ91+AF91</f>
        <v>17.349835</v>
      </c>
      <c r="AS91" s="451" t="n">
        <f aca="false">U91+J91+AG91</f>
        <v>17.872567</v>
      </c>
      <c r="AT91" s="451" t="n">
        <f aca="false">X91+M91+AJ91</f>
        <v>18.4043233064115</v>
      </c>
      <c r="AU91" s="665" t="n">
        <f aca="false">O91+Z91+AL91</f>
        <v>17.872567</v>
      </c>
      <c r="AV91" s="665" t="n">
        <f aca="false">P91+AA91+AM91</f>
        <v>17.872567</v>
      </c>
    </row>
    <row r="92" customFormat="false" ht="15" hidden="false" customHeight="false" outlineLevel="0" collapsed="false">
      <c r="A92" s="0" t="s">
        <v>779</v>
      </c>
      <c r="G92" s="660" t="n">
        <f aca="false">G93-G91-G90</f>
        <v>16.060111</v>
      </c>
      <c r="H92" s="660" t="n">
        <f aca="false">H93-H91-H90</f>
        <v>19.348656</v>
      </c>
      <c r="I92" s="660" t="n">
        <f aca="false">I93-I91-I90</f>
        <v>17.407182</v>
      </c>
      <c r="J92" s="660" t="n">
        <f aca="false">J93-J91-J90</f>
        <v>13.809693</v>
      </c>
      <c r="K92" s="726" t="n">
        <v>0</v>
      </c>
      <c r="L92" s="726" t="n">
        <v>0</v>
      </c>
      <c r="M92" s="730" t="n">
        <f aca="false">J92/J$93*M$93</f>
        <v>14.2205680210508</v>
      </c>
      <c r="N92" s="688" t="n">
        <f aca="false">M92/SUM($J$92)</f>
        <v>1.02975265424444</v>
      </c>
      <c r="O92" s="666" t="n">
        <f aca="false">J92</f>
        <v>13.809693</v>
      </c>
      <c r="P92" s="666" t="n">
        <f aca="false">O92</f>
        <v>13.809693</v>
      </c>
      <c r="Q92" s="689"/>
      <c r="R92" s="726" t="n">
        <f aca="false">R93-R90-R91</f>
        <v>4.81017</v>
      </c>
      <c r="S92" s="726" t="n">
        <f aca="false">S93-S90-S91</f>
        <v>3.01688700000001</v>
      </c>
      <c r="T92" s="726" t="n">
        <f aca="false">T93-T90-T91</f>
        <v>-7.82820799999999</v>
      </c>
      <c r="U92" s="726" t="n">
        <f aca="false">U93-U90-U91</f>
        <v>-7.01253800000001</v>
      </c>
      <c r="V92" s="726" t="n">
        <v>0</v>
      </c>
      <c r="W92" s="726" t="n">
        <v>0</v>
      </c>
      <c r="X92" s="726" t="n">
        <f aca="false">U92/U$93*X$93</f>
        <v>-7.1800068832042</v>
      </c>
      <c r="Y92" s="725" t="n">
        <f aca="false">X92/SUM($J$92)</f>
        <v>-0.519925162942014</v>
      </c>
      <c r="Z92" s="726" t="n">
        <f aca="false">U92</f>
        <v>-7.01253800000001</v>
      </c>
      <c r="AA92" s="726" t="n">
        <f aca="false">Z92</f>
        <v>-7.01253800000001</v>
      </c>
      <c r="AB92" s="324"/>
      <c r="AP92" s="324"/>
      <c r="AQ92" s="658"/>
      <c r="AR92" s="660" t="n">
        <f aca="false">T92+I92+AQ92+AF92</f>
        <v>9.57897399999999</v>
      </c>
      <c r="AS92" s="660" t="n">
        <f aca="false">U92+J92+AG92</f>
        <v>6.797155</v>
      </c>
      <c r="AT92" s="660" t="n">
        <f aca="false">X92+M92+AJ92</f>
        <v>7.04056113784663</v>
      </c>
      <c r="AU92" s="666" t="n">
        <f aca="false">O92+Z92+AL92</f>
        <v>6.797155</v>
      </c>
      <c r="AV92" s="666" t="n">
        <f aca="false">P92+AA92+AM92</f>
        <v>6.797155</v>
      </c>
    </row>
    <row r="93" customFormat="false" ht="12.75" hidden="false" customHeight="false" outlineLevel="0" collapsed="false">
      <c r="G93" s="658" t="n">
        <v>171.367</v>
      </c>
      <c r="H93" s="658" t="n">
        <v>177.839</v>
      </c>
      <c r="I93" s="658" t="n">
        <v>180.191</v>
      </c>
      <c r="J93" s="658" t="n">
        <v>191.109</v>
      </c>
      <c r="K93" s="658" t="n">
        <v>101.296</v>
      </c>
      <c r="L93" s="658" t="n">
        <v>95.61</v>
      </c>
      <c r="M93" s="324" t="n">
        <f aca="false">J93+K93-L93</f>
        <v>196.795</v>
      </c>
      <c r="N93" s="707"/>
      <c r="O93" s="324" t="n">
        <f aca="false">SUM(O90:O92)</f>
        <v>191.109</v>
      </c>
      <c r="P93" s="324" t="n">
        <f aca="false">SUM(P90:P92)</f>
        <v>191.109</v>
      </c>
      <c r="Q93" s="689"/>
      <c r="R93" s="324" t="n">
        <v>114.983</v>
      </c>
      <c r="S93" s="324" t="n">
        <v>117.013</v>
      </c>
      <c r="T93" s="324" t="n">
        <v>126.731</v>
      </c>
      <c r="U93" s="324" t="n">
        <v>130.604</v>
      </c>
      <c r="V93" s="658" t="n">
        <v>67.864</v>
      </c>
      <c r="W93" s="658" t="n">
        <v>64.745</v>
      </c>
      <c r="X93" s="324" t="n">
        <f aca="false">U93+V93-W93</f>
        <v>133.723</v>
      </c>
      <c r="Y93" s="688"/>
      <c r="Z93" s="324" t="n">
        <f aca="false">SUM(Z90:Z92)</f>
        <v>130.604</v>
      </c>
      <c r="AA93" s="324" t="n">
        <f aca="false">SUM(AA90:AA92)</f>
        <v>130.604</v>
      </c>
      <c r="AB93" s="324"/>
      <c r="AP93" s="324"/>
      <c r="AQ93" s="324"/>
      <c r="AR93" s="324" t="n">
        <f aca="false">SUM(AR90:AR92)</f>
        <v>306.922</v>
      </c>
      <c r="AS93" s="324" t="n">
        <f aca="false">SUM(AS90:AS92)</f>
        <v>321.713</v>
      </c>
      <c r="AT93" s="324" t="n">
        <f aca="false">SUM(AT90:AT92)</f>
        <v>330.518</v>
      </c>
      <c r="AU93" s="324" t="n">
        <f aca="false">SUM(AU90:AU92)</f>
        <v>321.713</v>
      </c>
      <c r="AV93" s="324" t="n">
        <f aca="false">SUM(AV90:AV92)</f>
        <v>321.713</v>
      </c>
    </row>
    <row r="94" customFormat="false" ht="12.75" hidden="false" customHeight="false" outlineLevel="0" collapsed="false">
      <c r="A94" s="28" t="s">
        <v>810</v>
      </c>
      <c r="G94" s="324"/>
      <c r="H94" s="324"/>
      <c r="I94" s="324"/>
      <c r="J94" s="324"/>
      <c r="K94" s="324"/>
      <c r="L94" s="324"/>
      <c r="M94" s="451"/>
      <c r="N94" s="721"/>
      <c r="O94" s="451"/>
      <c r="P94" s="324"/>
      <c r="Q94" s="689"/>
      <c r="R94" s="324"/>
      <c r="S94" s="324"/>
      <c r="T94" s="324"/>
      <c r="U94" s="324"/>
      <c r="V94" s="324"/>
      <c r="W94" s="324"/>
      <c r="X94" s="451"/>
      <c r="Y94" s="688"/>
      <c r="Z94" s="451"/>
      <c r="AA94" s="451"/>
      <c r="AB94" s="324"/>
      <c r="AP94" s="324"/>
      <c r="AQ94" s="324"/>
      <c r="AR94" s="451"/>
      <c r="AS94" s="324"/>
      <c r="AT94" s="324"/>
      <c r="AU94" s="324"/>
      <c r="AV94" s="324"/>
    </row>
    <row r="95" customFormat="false" ht="12.75" hidden="false" customHeight="false" outlineLevel="0" collapsed="false">
      <c r="A95" s="27" t="s">
        <v>612</v>
      </c>
      <c r="G95" s="658" t="n">
        <v>158.112437</v>
      </c>
      <c r="H95" s="658" t="n">
        <v>160.371668</v>
      </c>
      <c r="I95" s="658" t="n">
        <v>160.34575</v>
      </c>
      <c r="J95" s="658" t="n">
        <v>165.041466</v>
      </c>
      <c r="K95" s="658"/>
      <c r="L95" s="658"/>
      <c r="M95" s="723" t="n">
        <f aca="false">J95/J$98*M$98</f>
        <v>165.487255591706</v>
      </c>
      <c r="N95" s="721"/>
      <c r="O95" s="709" t="n">
        <f aca="false">J95</f>
        <v>165.041466</v>
      </c>
      <c r="P95" s="709" t="n">
        <f aca="false">O95</f>
        <v>165.041466</v>
      </c>
      <c r="Q95" s="689"/>
      <c r="R95" s="658" t="n">
        <v>51.853053</v>
      </c>
      <c r="S95" s="658" t="n">
        <v>49.910567</v>
      </c>
      <c r="T95" s="658" t="n">
        <v>53.720714</v>
      </c>
      <c r="U95" s="658" t="n">
        <v>54.541199</v>
      </c>
      <c r="V95" s="658"/>
      <c r="W95" s="658"/>
      <c r="X95" s="451" t="n">
        <f aca="false">U95/U$98*X$98</f>
        <v>53.824199</v>
      </c>
      <c r="Y95" s="688"/>
      <c r="Z95" s="665" t="n">
        <f aca="false">U95</f>
        <v>54.541199</v>
      </c>
      <c r="AA95" s="665" t="n">
        <f aca="false">Z95</f>
        <v>54.541199</v>
      </c>
      <c r="AB95" s="324"/>
      <c r="AP95" s="324"/>
      <c r="AQ95" s="658"/>
      <c r="AR95" s="451" t="n">
        <f aca="false">T95+I95+AQ95+AF95</f>
        <v>214.066464</v>
      </c>
      <c r="AS95" s="451" t="n">
        <f aca="false">U95+J95+AG95</f>
        <v>219.582665</v>
      </c>
      <c r="AT95" s="451" t="n">
        <f aca="false">X95+M95+AJ95</f>
        <v>219.311454591706</v>
      </c>
      <c r="AU95" s="665" t="n">
        <f aca="false">O95+Z95+AL95</f>
        <v>219.582665</v>
      </c>
      <c r="AV95" s="665" t="n">
        <f aca="false">P95+AA95+AM95</f>
        <v>219.582665</v>
      </c>
    </row>
    <row r="96" customFormat="false" ht="12.75" hidden="false" customHeight="false" outlineLevel="0" collapsed="false">
      <c r="A96" s="0" t="s">
        <v>575</v>
      </c>
      <c r="G96" s="658" t="n">
        <v>41.291424</v>
      </c>
      <c r="H96" s="658" t="n">
        <v>43.16168</v>
      </c>
      <c r="I96" s="658" t="n">
        <v>46.537624</v>
      </c>
      <c r="J96" s="658" t="n">
        <v>48.302554</v>
      </c>
      <c r="K96" s="658"/>
      <c r="L96" s="658"/>
      <c r="M96" s="723" t="n">
        <f aca="false">J96/J$98*M$98</f>
        <v>48.4330228836562</v>
      </c>
      <c r="N96" s="721"/>
      <c r="O96" s="709" t="n">
        <f aca="false">J96</f>
        <v>48.302554</v>
      </c>
      <c r="P96" s="709" t="n">
        <f aca="false">O96</f>
        <v>48.302554</v>
      </c>
      <c r="Q96" s="689"/>
      <c r="R96" s="324" t="n">
        <v>0</v>
      </c>
      <c r="S96" s="324" t="n">
        <v>0</v>
      </c>
      <c r="T96" s="324" t="n">
        <v>0</v>
      </c>
      <c r="U96" s="324" t="n">
        <v>0</v>
      </c>
      <c r="V96" s="324"/>
      <c r="W96" s="324"/>
      <c r="X96" s="324" t="n">
        <f aca="false">U96/U$98*X$98</f>
        <v>0</v>
      </c>
      <c r="Y96" s="688"/>
      <c r="Z96" s="324" t="n">
        <f aca="false">U96</f>
        <v>0</v>
      </c>
      <c r="AA96" s="324" t="n">
        <f aca="false">Z96</f>
        <v>0</v>
      </c>
      <c r="AB96" s="324"/>
      <c r="AP96" s="324"/>
      <c r="AQ96" s="324"/>
      <c r="AR96" s="451" t="n">
        <f aca="false">T96+I96+AQ96+AF96</f>
        <v>46.537624</v>
      </c>
      <c r="AS96" s="451" t="n">
        <f aca="false">U96+J96+AG96</f>
        <v>48.302554</v>
      </c>
      <c r="AT96" s="451" t="n">
        <f aca="false">X96+M96+AJ96</f>
        <v>48.4330228836562</v>
      </c>
      <c r="AU96" s="665" t="n">
        <f aca="false">O96+Z96+AL96</f>
        <v>48.302554</v>
      </c>
      <c r="AV96" s="665" t="n">
        <f aca="false">P96+AA96+AM96</f>
        <v>48.302554</v>
      </c>
    </row>
    <row r="97" customFormat="false" ht="15" hidden="false" customHeight="false" outlineLevel="0" collapsed="false">
      <c r="A97" s="0" t="s">
        <v>779</v>
      </c>
      <c r="G97" s="660" t="n">
        <f aca="false">G98-G95-G96</f>
        <v>4.27613900000001</v>
      </c>
      <c r="H97" s="660" t="n">
        <f aca="false">H98-H95-H96</f>
        <v>4.370652</v>
      </c>
      <c r="I97" s="660" t="n">
        <f aca="false">I98-I95-I96</f>
        <v>4.41962599999999</v>
      </c>
      <c r="J97" s="660" t="n">
        <f aca="false">J98-J95-J96</f>
        <v>4.34697999999999</v>
      </c>
      <c r="K97" s="726" t="n">
        <v>0</v>
      </c>
      <c r="L97" s="726" t="n">
        <v>0</v>
      </c>
      <c r="M97" s="726" t="n">
        <f aca="false">J97/J$98*M$98</f>
        <v>4.35872152463812</v>
      </c>
      <c r="N97" s="721"/>
      <c r="O97" s="726" t="n">
        <f aca="false">J97</f>
        <v>4.34697999999999</v>
      </c>
      <c r="P97" s="726" t="n">
        <f aca="false">O97</f>
        <v>4.34697999999999</v>
      </c>
      <c r="Q97" s="689"/>
      <c r="R97" s="660" t="n">
        <f aca="false">R98-R95-R96</f>
        <v>0</v>
      </c>
      <c r="S97" s="660" t="n">
        <f aca="false">S98-S95-S96</f>
        <v>0</v>
      </c>
      <c r="T97" s="660" t="n">
        <f aca="false">T98-T95-T96</f>
        <v>0</v>
      </c>
      <c r="U97" s="660" t="n">
        <f aca="false">U98-U95-U96</f>
        <v>0</v>
      </c>
      <c r="V97" s="726" t="n">
        <v>0</v>
      </c>
      <c r="W97" s="726" t="n">
        <v>0</v>
      </c>
      <c r="X97" s="726" t="n">
        <f aca="false">U97/U$98*X$98</f>
        <v>0</v>
      </c>
      <c r="Y97" s="725"/>
      <c r="Z97" s="726" t="n">
        <f aca="false">U97</f>
        <v>0</v>
      </c>
      <c r="AA97" s="726" t="n">
        <f aca="false">Z97</f>
        <v>0</v>
      </c>
      <c r="AB97" s="324"/>
      <c r="AP97" s="324"/>
      <c r="AQ97" s="658"/>
      <c r="AR97" s="660" t="n">
        <f aca="false">T97+I97+AQ97+AF97</f>
        <v>4.41962599999999</v>
      </c>
      <c r="AS97" s="660" t="n">
        <f aca="false">U97+J97+AG97</f>
        <v>4.34697999999999</v>
      </c>
      <c r="AT97" s="660" t="n">
        <f aca="false">X97+M97+AJ97</f>
        <v>4.35872152463812</v>
      </c>
      <c r="AU97" s="666" t="n">
        <f aca="false">O97+Z97+AL97</f>
        <v>4.34697999999999</v>
      </c>
      <c r="AV97" s="666" t="n">
        <f aca="false">P97+AA97+AM97</f>
        <v>4.34697999999999</v>
      </c>
    </row>
    <row r="98" customFormat="false" ht="12.75" hidden="false" customHeight="false" outlineLevel="0" collapsed="false">
      <c r="G98" s="658" t="n">
        <v>203.68</v>
      </c>
      <c r="H98" s="658" t="n">
        <v>207.904</v>
      </c>
      <c r="I98" s="658" t="n">
        <v>211.303</v>
      </c>
      <c r="J98" s="658" t="n">
        <v>217.691</v>
      </c>
      <c r="K98" s="658" t="n">
        <v>108.983</v>
      </c>
      <c r="L98" s="658" t="n">
        <v>108.395</v>
      </c>
      <c r="M98" s="324" t="n">
        <f aca="false">J98+K98-L98</f>
        <v>218.279</v>
      </c>
      <c r="N98" s="721"/>
      <c r="O98" s="324" t="n">
        <f aca="false">SUM(O95:O97)</f>
        <v>217.691</v>
      </c>
      <c r="P98" s="324" t="n">
        <f aca="false">SUM(P95:P97)</f>
        <v>217.691</v>
      </c>
      <c r="Q98" s="689"/>
      <c r="R98" s="658" t="n">
        <v>51.853053</v>
      </c>
      <c r="S98" s="658" t="n">
        <v>49.910567</v>
      </c>
      <c r="T98" s="658" t="n">
        <v>53.720714</v>
      </c>
      <c r="U98" s="658" t="n">
        <v>54.541199</v>
      </c>
      <c r="V98" s="658" t="n">
        <v>28.757</v>
      </c>
      <c r="W98" s="658" t="n">
        <v>29.474</v>
      </c>
      <c r="X98" s="324" t="n">
        <f aca="false">U98+V98-W98</f>
        <v>53.824199</v>
      </c>
      <c r="Y98" s="688"/>
      <c r="Z98" s="324" t="n">
        <f aca="false">SUM(Z95:Z97)</f>
        <v>54.541199</v>
      </c>
      <c r="AA98" s="324" t="n">
        <f aca="false">SUM(AA95:AA97)</f>
        <v>54.541199</v>
      </c>
      <c r="AB98" s="324"/>
      <c r="AP98" s="324"/>
      <c r="AQ98" s="324"/>
      <c r="AR98" s="451" t="n">
        <f aca="false">SUM(AR95:AR97)</f>
        <v>265.023714</v>
      </c>
      <c r="AS98" s="451" t="n">
        <f aca="false">SUM(AS95:AS97)</f>
        <v>272.232199</v>
      </c>
      <c r="AT98" s="451" t="n">
        <f aca="false">SUM(AT95:AT97)</f>
        <v>272.103199</v>
      </c>
      <c r="AU98" s="451" t="n">
        <f aca="false">SUM(AU95:AU97)</f>
        <v>272.232199</v>
      </c>
      <c r="AV98" s="451" t="n">
        <f aca="false">SUM(AV95:AV97)</f>
        <v>272.232199</v>
      </c>
    </row>
    <row r="99" customFormat="false" ht="12.75" hidden="false" customHeight="false" outlineLevel="0" collapsed="false">
      <c r="G99" s="324"/>
      <c r="H99" s="324"/>
      <c r="I99" s="324"/>
      <c r="J99" s="324"/>
      <c r="K99" s="324"/>
      <c r="L99" s="324"/>
      <c r="M99" s="324"/>
      <c r="N99" s="721"/>
      <c r="O99" s="324"/>
      <c r="P99" s="324"/>
      <c r="Q99" s="689"/>
      <c r="R99" s="324"/>
      <c r="S99" s="324"/>
      <c r="T99" s="324"/>
      <c r="U99" s="324"/>
      <c r="V99" s="324"/>
      <c r="W99" s="324"/>
      <c r="X99" s="451"/>
      <c r="Y99" s="688"/>
      <c r="Z99" s="451"/>
      <c r="AA99" s="451"/>
      <c r="AB99" s="324"/>
      <c r="AP99" s="324"/>
      <c r="AQ99" s="324"/>
      <c r="AR99" s="451"/>
      <c r="AS99" s="324"/>
      <c r="AT99" s="324"/>
      <c r="AU99" s="324"/>
      <c r="AV99" s="324"/>
    </row>
    <row r="100" customFormat="false" ht="12.75" hidden="false" customHeight="false" outlineLevel="0" collapsed="false">
      <c r="A100" s="28" t="s">
        <v>811</v>
      </c>
      <c r="G100" s="324"/>
      <c r="H100" s="324"/>
      <c r="I100" s="324"/>
      <c r="J100" s="324"/>
      <c r="K100" s="324"/>
      <c r="L100" s="324"/>
      <c r="M100" s="451"/>
      <c r="N100" s="721"/>
      <c r="O100" s="451"/>
      <c r="P100" s="324"/>
      <c r="Q100" s="689"/>
      <c r="R100" s="324"/>
      <c r="S100" s="324"/>
      <c r="T100" s="324"/>
      <c r="U100" s="324"/>
      <c r="V100" s="324"/>
      <c r="W100" s="324"/>
      <c r="X100" s="451"/>
      <c r="Y100" s="688"/>
      <c r="Z100" s="451"/>
      <c r="AA100" s="451"/>
      <c r="AB100" s="324"/>
      <c r="AP100" s="324"/>
      <c r="AQ100" s="324"/>
      <c r="AR100" s="451"/>
      <c r="AS100" s="324"/>
      <c r="AT100" s="324"/>
      <c r="AU100" s="324"/>
      <c r="AV100" s="324"/>
    </row>
    <row r="101" customFormat="false" ht="12.75" hidden="false" customHeight="false" outlineLevel="0" collapsed="false">
      <c r="A101" s="0" t="s">
        <v>812</v>
      </c>
      <c r="G101" s="324"/>
      <c r="H101" s="658" t="n">
        <v>0</v>
      </c>
      <c r="I101" s="658" t="n">
        <v>0</v>
      </c>
      <c r="J101" s="658" t="n">
        <v>0</v>
      </c>
      <c r="K101" s="658"/>
      <c r="L101" s="658"/>
      <c r="M101" s="451" t="n">
        <v>0</v>
      </c>
      <c r="N101" s="721"/>
      <c r="O101" s="658"/>
      <c r="P101" s="658"/>
      <c r="Q101" s="689"/>
      <c r="R101" s="324"/>
      <c r="S101" s="324"/>
      <c r="T101" s="324"/>
      <c r="U101" s="324"/>
      <c r="V101" s="324"/>
      <c r="W101" s="324"/>
      <c r="X101" s="451"/>
      <c r="Y101" s="688"/>
      <c r="Z101" s="451"/>
      <c r="AA101" s="451"/>
      <c r="AB101" s="324"/>
      <c r="AP101" s="324"/>
      <c r="AQ101" s="324"/>
      <c r="AR101" s="451" t="n">
        <f aca="false">I101</f>
        <v>0</v>
      </c>
      <c r="AS101" s="324" t="n">
        <f aca="false">J101</f>
        <v>0</v>
      </c>
      <c r="AT101" s="324" t="n">
        <f aca="false">M101</f>
        <v>0</v>
      </c>
      <c r="AU101" s="665" t="n">
        <f aca="false">O101+Z101</f>
        <v>0</v>
      </c>
      <c r="AV101" s="665" t="n">
        <f aca="false">P101+AA101</f>
        <v>0</v>
      </c>
    </row>
    <row r="102" customFormat="false" ht="12.75" hidden="false" customHeight="false" outlineLevel="0" collapsed="false">
      <c r="A102" s="27" t="s">
        <v>813</v>
      </c>
      <c r="G102" s="324"/>
      <c r="H102" s="324"/>
      <c r="I102" s="658" t="n">
        <v>0</v>
      </c>
      <c r="J102" s="658" t="n">
        <v>0</v>
      </c>
      <c r="K102" s="658"/>
      <c r="L102" s="658"/>
      <c r="M102" s="658" t="n">
        <v>0</v>
      </c>
      <c r="N102" s="721"/>
      <c r="O102" s="658"/>
      <c r="P102" s="658"/>
      <c r="Q102" s="689"/>
      <c r="R102" s="324"/>
      <c r="S102" s="324"/>
      <c r="T102" s="324"/>
      <c r="U102" s="324"/>
      <c r="V102" s="324"/>
      <c r="W102" s="324"/>
      <c r="X102" s="451"/>
      <c r="Y102" s="688"/>
      <c r="Z102" s="451"/>
      <c r="AA102" s="451"/>
      <c r="AB102" s="324"/>
      <c r="AP102" s="324"/>
      <c r="AQ102" s="324"/>
      <c r="AR102" s="451" t="n">
        <f aca="false">I102</f>
        <v>0</v>
      </c>
      <c r="AS102" s="324" t="n">
        <f aca="false">J102</f>
        <v>0</v>
      </c>
      <c r="AT102" s="324" t="n">
        <f aca="false">M102</f>
        <v>0</v>
      </c>
      <c r="AU102" s="665" t="n">
        <f aca="false">O102+Z102</f>
        <v>0</v>
      </c>
      <c r="AV102" s="665" t="n">
        <f aca="false">P102+AA102</f>
        <v>0</v>
      </c>
    </row>
    <row r="103" customFormat="false" ht="12.75" hidden="false" customHeight="false" outlineLevel="0" collapsed="false">
      <c r="G103" s="324"/>
      <c r="H103" s="324"/>
      <c r="I103" s="658"/>
      <c r="J103" s="658"/>
      <c r="K103" s="658"/>
      <c r="L103" s="658"/>
      <c r="M103" s="451"/>
      <c r="N103" s="721"/>
      <c r="O103" s="451"/>
      <c r="P103" s="324"/>
      <c r="Q103" s="689"/>
      <c r="R103" s="324"/>
      <c r="S103" s="324"/>
      <c r="T103" s="324"/>
      <c r="U103" s="324"/>
      <c r="V103" s="324"/>
      <c r="W103" s="324"/>
      <c r="X103" s="451"/>
      <c r="Y103" s="688"/>
      <c r="Z103" s="451"/>
      <c r="AA103" s="451"/>
      <c r="AB103" s="324"/>
      <c r="AP103" s="324"/>
      <c r="AQ103" s="324"/>
      <c r="AR103" s="451"/>
      <c r="AS103" s="324"/>
      <c r="AT103" s="324"/>
      <c r="AU103" s="324"/>
      <c r="AV103" s="324"/>
    </row>
    <row r="104" customFormat="false" ht="12.75" hidden="false" customHeight="false" outlineLevel="0" collapsed="false">
      <c r="A104" s="28" t="s">
        <v>63</v>
      </c>
      <c r="G104" s="324"/>
      <c r="H104" s="324"/>
      <c r="I104" s="324"/>
      <c r="J104" s="324"/>
      <c r="K104" s="324"/>
      <c r="L104" s="324"/>
      <c r="M104" s="451"/>
      <c r="N104" s="721"/>
      <c r="O104" s="451"/>
      <c r="P104" s="324"/>
      <c r="Q104" s="689"/>
      <c r="R104" s="324"/>
      <c r="S104" s="324"/>
      <c r="T104" s="324"/>
      <c r="U104" s="324"/>
      <c r="V104" s="324"/>
      <c r="W104" s="324"/>
      <c r="X104" s="451"/>
      <c r="Y104" s="688"/>
      <c r="Z104" s="451"/>
      <c r="AA104" s="451"/>
      <c r="AB104" s="324"/>
      <c r="AP104" s="324"/>
      <c r="AQ104" s="324"/>
      <c r="AR104" s="451"/>
      <c r="AS104" s="324"/>
      <c r="AT104" s="324"/>
      <c r="AU104" s="324"/>
      <c r="AV104" s="324"/>
    </row>
    <row r="105" customFormat="false" ht="12.75" hidden="false" customHeight="false" outlineLevel="0" collapsed="false">
      <c r="A105" s="0" t="s">
        <v>612</v>
      </c>
      <c r="F105" s="324"/>
      <c r="G105" s="324" t="n">
        <f aca="false">G25-G72-G73-G80-G85-G90-G95</f>
        <v>403.270341101443</v>
      </c>
      <c r="H105" s="324" t="n">
        <f aca="false">H25-H72-H73-H80-H85-H90-H95</f>
        <v>396.024421138171</v>
      </c>
      <c r="I105" s="324" t="n">
        <f aca="false">I25-I72-I73-I80-I85-I90-I95</f>
        <v>388.167994338447</v>
      </c>
      <c r="J105" s="324" t="n">
        <f aca="false">J25-J72-J73-J80-J85-J90-J95</f>
        <v>361.786235507853</v>
      </c>
      <c r="K105" s="324"/>
      <c r="L105" s="324"/>
      <c r="M105" s="324" t="n">
        <f aca="false">M25-M72-M73-M80-M85-M90-M95</f>
        <v>475.481914548678</v>
      </c>
      <c r="N105" s="721"/>
      <c r="O105" s="324" t="n">
        <f aca="false">O25-O72-O73-O80-O85-O90-O95</f>
        <v>463.499683667062</v>
      </c>
      <c r="P105" s="324" t="n">
        <f aca="false">P25-P72-P73-P80-P85-P90-P95</f>
        <v>513.629816264097</v>
      </c>
      <c r="Q105" s="689"/>
      <c r="R105" s="324" t="n">
        <f aca="false">R25-R72-R73-R80-R85-R90-R95</f>
        <v>316.741775</v>
      </c>
      <c r="S105" s="324" t="n">
        <f aca="false">S25-S72-S73-S80-S85-S90-S95</f>
        <v>281.874383</v>
      </c>
      <c r="T105" s="324" t="n">
        <f aca="false">T25-T72-T73-T80-T85-T90-T95</f>
        <v>281.86262</v>
      </c>
      <c r="U105" s="324" t="n">
        <f aca="false">U25-U72-U73-U80-U85-U90-U95</f>
        <v>154.051114</v>
      </c>
      <c r="V105" s="324"/>
      <c r="W105" s="324"/>
      <c r="X105" s="324" t="n">
        <f aca="false">X25-X72-X73-X80-X85-X90-X95</f>
        <v>144.306645116796</v>
      </c>
      <c r="Y105" s="688"/>
      <c r="Z105" s="324" t="n">
        <f aca="false">Z25-Z72-Z73-Z80-Z85-Z90-Z95</f>
        <v>239.410508063931</v>
      </c>
      <c r="AA105" s="324" t="n">
        <f aca="false">AA25-AA72-AA73-AA80-AA85-AA90-AA95</f>
        <v>309.618005293612</v>
      </c>
      <c r="AB105" s="324"/>
      <c r="AP105" s="324"/>
      <c r="AQ105" s="324"/>
      <c r="AR105" s="324" t="n">
        <f aca="false">AR25-AR72-AR73-AR80-AR85-AR90-AR95</f>
        <v>670.030614338447</v>
      </c>
      <c r="AS105" s="324" t="n">
        <f aca="false">AS25-AS72-AS73-AS80-AS85-AS90-AS95</f>
        <v>515.837349507853</v>
      </c>
      <c r="AT105" s="324" t="n">
        <f aca="false">AT25-AT72-AT73-AT80-AT85-AT90-AT95</f>
        <v>619.788559665475</v>
      </c>
      <c r="AU105" s="324" t="n">
        <f aca="false">AU25-AU72-AU73-AU80-AU85-AU90-AU95</f>
        <v>702.910191730993</v>
      </c>
      <c r="AV105" s="324" t="n">
        <f aca="false">AV25-AV72-AV73-AV80-AV85-AV90-AV95</f>
        <v>823.247821557709</v>
      </c>
    </row>
    <row r="106" customFormat="false" ht="12.75" hidden="false" customHeight="false" outlineLevel="0" collapsed="false">
      <c r="A106" s="0" t="s">
        <v>575</v>
      </c>
      <c r="G106" s="324" t="n">
        <f aca="false">G63-G74-G81-G86-G91-G96</f>
        <v>74.6598948985566</v>
      </c>
      <c r="H106" s="324" t="n">
        <f aca="false">H63-H74-H81-H86-H91-H96</f>
        <v>84.3922718618292</v>
      </c>
      <c r="I106" s="324" t="n">
        <f aca="false">I63-I74-I81-I86-I91-I96</f>
        <v>91.3010376615533</v>
      </c>
      <c r="J106" s="324" t="n">
        <f aca="false">J63-J74-J81-J86-J91-J96</f>
        <v>64.6706574921472</v>
      </c>
      <c r="K106" s="324"/>
      <c r="L106" s="324"/>
      <c r="M106" s="324" t="n">
        <f aca="false">M63-M74-M81-M86-M91-M96</f>
        <v>126.651836717441</v>
      </c>
      <c r="N106" s="721"/>
      <c r="O106" s="324" t="n">
        <f aca="false">O63-O74-O81-O86-O91-O96</f>
        <v>74.1973219223043</v>
      </c>
      <c r="P106" s="324" t="n">
        <f aca="false">P63-P74-P81-P86-P91-P96</f>
        <v>83.8561978638582</v>
      </c>
      <c r="Q106" s="689"/>
      <c r="R106" s="324" t="n">
        <f aca="false">R63-R74-R81-R86-R91-R96</f>
        <v>0</v>
      </c>
      <c r="S106" s="324" t="n">
        <f aca="false">S63-S74-S81-S86-S91-S96</f>
        <v>0</v>
      </c>
      <c r="T106" s="324" t="n">
        <f aca="false">T63-T74-T81-T86-T91-T96</f>
        <v>0</v>
      </c>
      <c r="U106" s="324" t="n">
        <f aca="false">U63-U74-U81-U86-U91-U96</f>
        <v>0</v>
      </c>
      <c r="V106" s="324"/>
      <c r="W106" s="324"/>
      <c r="X106" s="324" t="n">
        <f aca="false">X63-X74-X81-X86-X91-X96</f>
        <v>0</v>
      </c>
      <c r="Y106" s="688"/>
      <c r="Z106" s="324" t="n">
        <f aca="false">Z63-Z74-Z81-Z86-Z91-Z96</f>
        <v>0</v>
      </c>
      <c r="AA106" s="324" t="n">
        <f aca="false">AA63-AA74-AA81-AA86-AA91-AA96</f>
        <v>0</v>
      </c>
      <c r="AB106" s="324"/>
      <c r="AP106" s="324"/>
      <c r="AQ106" s="324"/>
      <c r="AR106" s="324" t="n">
        <f aca="false">AR63-AR74-AR81-AR86-AR91-AR96</f>
        <v>91.3010376615533</v>
      </c>
      <c r="AS106" s="324" t="n">
        <f aca="false">AS63-AS74-AS81-AS86-AS91-AS96</f>
        <v>64.6706574921472</v>
      </c>
      <c r="AT106" s="324" t="n">
        <f aca="false">AT63-AT74-AT81-AT86-AT91-AT96</f>
        <v>126.651836717441</v>
      </c>
      <c r="AU106" s="324" t="n">
        <f aca="false">AU63-AU74-AU81-AU86-AU91-AU96</f>
        <v>74.1973219223043</v>
      </c>
      <c r="AV106" s="324" t="n">
        <f aca="false">AV63-AV74-AV81-AV86-AV91-AV96</f>
        <v>83.8561978638582</v>
      </c>
    </row>
    <row r="107" customFormat="false" ht="15" hidden="false" customHeight="false" outlineLevel="0" collapsed="false">
      <c r="A107" s="667" t="s">
        <v>779</v>
      </c>
      <c r="B107" s="667"/>
      <c r="C107" s="667"/>
      <c r="D107" s="667"/>
      <c r="E107" s="667"/>
      <c r="F107" s="667"/>
      <c r="G107" s="660" t="n">
        <f aca="false">-G82-G87-G92-G97</f>
        <v>-25.102003</v>
      </c>
      <c r="H107" s="660" t="n">
        <f aca="false">-H82-H87-H92-H97</f>
        <v>-28.890617</v>
      </c>
      <c r="I107" s="660" t="n">
        <f aca="false">-I82-I87-I92-I97</f>
        <v>-27.670083</v>
      </c>
      <c r="J107" s="660" t="n">
        <f aca="false">-J82-J87-J92-J97</f>
        <v>-24.049347</v>
      </c>
      <c r="K107" s="660"/>
      <c r="L107" s="660"/>
      <c r="M107" s="660" t="n">
        <f aca="false">-M82-M87-M92-M97</f>
        <v>-25.739205266119</v>
      </c>
      <c r="N107" s="721"/>
      <c r="O107" s="660" t="n">
        <f aca="false">-O82-O87-O92-O97</f>
        <v>-23.93149352</v>
      </c>
      <c r="P107" s="660" t="n">
        <f aca="false">-P82-P87-P92-P97</f>
        <v>-23.8159971096</v>
      </c>
      <c r="Q107" s="732"/>
      <c r="R107" s="660" t="n">
        <f aca="false">-R82-R87-R92-R97</f>
        <v>-4.81017</v>
      </c>
      <c r="S107" s="660" t="n">
        <f aca="false">-S82-S87-S92-S97</f>
        <v>-3.01688700000001</v>
      </c>
      <c r="T107" s="660" t="n">
        <f aca="false">-T82-T87-T92-T97</f>
        <v>7.82820799999999</v>
      </c>
      <c r="U107" s="660" t="n">
        <f aca="false">-U82-U87-U92-U97</f>
        <v>7.01253800000001</v>
      </c>
      <c r="V107" s="660"/>
      <c r="W107" s="660"/>
      <c r="X107" s="660" t="n">
        <f aca="false">-X82-X87-X92-X97</f>
        <v>7.1800068832042</v>
      </c>
      <c r="Y107" s="725"/>
      <c r="Z107" s="660" t="n">
        <f aca="false">-Z82-Z87-Z92-Z97</f>
        <v>7.01253800000001</v>
      </c>
      <c r="AA107" s="660" t="n">
        <f aca="false">-AA82-AA87-AA92-AA97</f>
        <v>7.01253800000001</v>
      </c>
      <c r="AB107" s="370"/>
      <c r="AP107" s="370"/>
      <c r="AQ107" s="370"/>
      <c r="AR107" s="660" t="n">
        <f aca="false">-AR82-AR87-AR92-AR97</f>
        <v>-19.841875</v>
      </c>
      <c r="AS107" s="660" t="n">
        <f aca="false">-AS82-AS87-AS92-AS97</f>
        <v>-17.036809</v>
      </c>
      <c r="AT107" s="660" t="n">
        <f aca="false">-AT82-AT87-AT92-AT97</f>
        <v>-18.5591983829149</v>
      </c>
      <c r="AU107" s="660" t="n">
        <f aca="false">-AU82-AU87-AU92-AU97</f>
        <v>-16.91895552</v>
      </c>
      <c r="AV107" s="660" t="n">
        <f aca="false">-AV82-AV87-AV92-AV97</f>
        <v>-16.8034591096</v>
      </c>
    </row>
    <row r="108" customFormat="false" ht="12.75" hidden="false" customHeight="false" outlineLevel="0" collapsed="false">
      <c r="B108" s="28"/>
      <c r="G108" s="324" t="n">
        <f aca="false">SUM(G105:G107)</f>
        <v>452.828233</v>
      </c>
      <c r="H108" s="324" t="n">
        <f aca="false">SUM(H105:H107)</f>
        <v>451.526076</v>
      </c>
      <c r="I108" s="324" t="n">
        <f aca="false">SUM(I105:I107)</f>
        <v>451.798949</v>
      </c>
      <c r="J108" s="324" t="n">
        <f aca="false">SUM(J105:J107)</f>
        <v>402.407546</v>
      </c>
      <c r="K108" s="324"/>
      <c r="L108" s="324"/>
      <c r="M108" s="324" t="n">
        <f aca="false">SUM(M105:M107)</f>
        <v>576.394546</v>
      </c>
      <c r="N108" s="721"/>
      <c r="O108" s="324" t="n">
        <f aca="false">SUM(O105:O107)</f>
        <v>513.765512069366</v>
      </c>
      <c r="P108" s="324" t="n">
        <f aca="false">SUM(P105:P107)</f>
        <v>573.670017018355</v>
      </c>
      <c r="Q108" s="689"/>
      <c r="R108" s="324" t="n">
        <f aca="false">SUM(R105:R107)</f>
        <v>311.931605</v>
      </c>
      <c r="S108" s="324" t="n">
        <f aca="false">SUM(S105:S107)</f>
        <v>278.857496</v>
      </c>
      <c r="T108" s="324" t="n">
        <f aca="false">SUM(T105:T107)</f>
        <v>289.690828</v>
      </c>
      <c r="U108" s="324" t="n">
        <f aca="false">SUM(U105:U107)</f>
        <v>161.063652</v>
      </c>
      <c r="V108" s="324"/>
      <c r="W108" s="324"/>
      <c r="X108" s="324" t="n">
        <f aca="false">SUM(X105:X107)</f>
        <v>151.486652</v>
      </c>
      <c r="Y108" s="688"/>
      <c r="Z108" s="324" t="n">
        <f aca="false">SUM(Z105:Z107)</f>
        <v>246.423046063931</v>
      </c>
      <c r="AA108" s="324" t="n">
        <f aca="false">SUM(AA105:AA107)</f>
        <v>316.630543293612</v>
      </c>
      <c r="AB108" s="324"/>
      <c r="AP108" s="324"/>
      <c r="AQ108" s="324"/>
      <c r="AR108" s="324" t="n">
        <f aca="false">SUM(AR105:AR107)</f>
        <v>741.489777</v>
      </c>
      <c r="AS108" s="324" t="n">
        <f aca="false">SUM(AS105:AS107)</f>
        <v>563.471198000001</v>
      </c>
      <c r="AT108" s="324" t="n">
        <f aca="false">SUM(AT105:AT107)</f>
        <v>727.881198000001</v>
      </c>
      <c r="AU108" s="324" t="n">
        <f aca="false">SUM(AU105:AU107)</f>
        <v>760.188558133297</v>
      </c>
      <c r="AV108" s="324" t="n">
        <f aca="false">SUM(AV105:AV107)</f>
        <v>890.300560311967</v>
      </c>
    </row>
    <row r="109" customFormat="false" ht="12.75" hidden="false" customHeight="false" outlineLevel="0" collapsed="false">
      <c r="G109" s="324"/>
      <c r="H109" s="324"/>
      <c r="I109" s="324"/>
      <c r="J109" s="324"/>
      <c r="K109" s="324"/>
      <c r="L109" s="324"/>
      <c r="M109" s="451"/>
      <c r="N109" s="721"/>
      <c r="O109" s="451"/>
      <c r="P109" s="324"/>
      <c r="Q109" s="689"/>
      <c r="R109" s="324"/>
      <c r="S109" s="324"/>
      <c r="T109" s="324"/>
      <c r="U109" s="324"/>
      <c r="V109" s="324"/>
      <c r="W109" s="324"/>
      <c r="X109" s="451"/>
      <c r="Y109" s="688"/>
      <c r="Z109" s="451"/>
      <c r="AA109" s="451"/>
      <c r="AB109" s="324"/>
      <c r="AP109" s="324"/>
      <c r="AQ109" s="324"/>
      <c r="AR109" s="451"/>
      <c r="AS109" s="324"/>
      <c r="AT109" s="324"/>
      <c r="AU109" s="324"/>
      <c r="AV109" s="324"/>
    </row>
    <row r="110" customFormat="false" ht="12.75" hidden="false" customHeight="false" outlineLevel="0" collapsed="false">
      <c r="A110" s="28" t="s">
        <v>61</v>
      </c>
      <c r="G110" s="324"/>
      <c r="H110" s="324"/>
      <c r="I110" s="324"/>
      <c r="J110" s="324"/>
      <c r="K110" s="324"/>
      <c r="L110" s="324"/>
      <c r="M110" s="451"/>
      <c r="N110" s="721"/>
      <c r="O110" s="451"/>
      <c r="P110" s="324"/>
      <c r="Q110" s="689"/>
      <c r="R110" s="324"/>
      <c r="S110" s="324"/>
      <c r="T110" s="324"/>
      <c r="U110" s="324"/>
      <c r="V110" s="324"/>
      <c r="W110" s="324"/>
      <c r="X110" s="451"/>
      <c r="Y110" s="688"/>
      <c r="Z110" s="451"/>
      <c r="AA110" s="451"/>
      <c r="AB110" s="324"/>
      <c r="AP110" s="324"/>
      <c r="AQ110" s="324"/>
      <c r="AR110" s="451"/>
      <c r="AS110" s="324"/>
      <c r="AT110" s="324"/>
      <c r="AU110" s="324"/>
      <c r="AV110" s="324"/>
    </row>
    <row r="111" customFormat="false" ht="12.75" hidden="false" customHeight="false" outlineLevel="0" collapsed="false">
      <c r="A111" s="0" t="s">
        <v>612</v>
      </c>
      <c r="G111" s="324" t="n">
        <f aca="false">G105+G90</f>
        <v>541.634479101443</v>
      </c>
      <c r="H111" s="324" t="n">
        <f aca="false">H105+H90</f>
        <v>537.060008138171</v>
      </c>
      <c r="I111" s="324" t="n">
        <f aca="false">I105+I90</f>
        <v>533.601977338447</v>
      </c>
      <c r="J111" s="324" t="n">
        <f aca="false">J105+J90</f>
        <v>521.212975507853</v>
      </c>
      <c r="K111" s="324"/>
      <c r="L111" s="324"/>
      <c r="M111" s="324" t="n">
        <f aca="false">M105+M90</f>
        <v>639.652023221216</v>
      </c>
      <c r="N111" s="721"/>
      <c r="O111" s="324" t="n">
        <f aca="false">O105+O90</f>
        <v>622.926423667062</v>
      </c>
      <c r="P111" s="324" t="n">
        <f aca="false">P105+P90</f>
        <v>673.056556264097</v>
      </c>
      <c r="Q111" s="689"/>
      <c r="R111" s="324" t="n">
        <f aca="false">R105+R90</f>
        <v>426.914605</v>
      </c>
      <c r="S111" s="324" t="n">
        <f aca="false">S105+S90</f>
        <v>395.870496</v>
      </c>
      <c r="T111" s="324" t="n">
        <f aca="false">T105+T90</f>
        <v>416.421828</v>
      </c>
      <c r="U111" s="324" t="n">
        <f aca="false">U105+U90</f>
        <v>291.667652</v>
      </c>
      <c r="V111" s="324"/>
      <c r="W111" s="324"/>
      <c r="X111" s="324" t="n">
        <f aca="false">X105+X90</f>
        <v>285.209652</v>
      </c>
      <c r="Y111" s="688"/>
      <c r="Z111" s="324" t="n">
        <f aca="false">Z105+Z90</f>
        <v>377.027046063931</v>
      </c>
      <c r="AA111" s="324" t="n">
        <f aca="false">AA105+AA90</f>
        <v>447.234543293612</v>
      </c>
      <c r="AB111" s="324"/>
      <c r="AP111" s="324"/>
      <c r="AQ111" s="324"/>
      <c r="AR111" s="324" t="n">
        <f aca="false">AR105+AR90</f>
        <v>950.023805338447</v>
      </c>
      <c r="AS111" s="324" t="n">
        <f aca="false">AS105+AS90</f>
        <v>812.880627507853</v>
      </c>
      <c r="AT111" s="324" t="n">
        <f aca="false">AT105+AT90</f>
        <v>924.861675221217</v>
      </c>
      <c r="AU111" s="324" t="n">
        <f aca="false">AU105+AU90</f>
        <v>999.953469730993</v>
      </c>
      <c r="AV111" s="324" t="n">
        <f aca="false">AV105+AV90</f>
        <v>1120.29109955771</v>
      </c>
    </row>
    <row r="112" customFormat="false" ht="12.75" hidden="false" customHeight="false" outlineLevel="0" collapsed="false">
      <c r="A112" s="0" t="s">
        <v>575</v>
      </c>
      <c r="G112" s="324" t="n">
        <f aca="false">G106+G91</f>
        <v>91.6026458985566</v>
      </c>
      <c r="H112" s="324" t="n">
        <f aca="false">H106+H91</f>
        <v>101.847028861829</v>
      </c>
      <c r="I112" s="324" t="n">
        <f aca="false">I106+I91</f>
        <v>108.650872661553</v>
      </c>
      <c r="J112" s="324" t="n">
        <f aca="false">J106+J91</f>
        <v>82.5432244921472</v>
      </c>
      <c r="K112" s="324"/>
      <c r="L112" s="324"/>
      <c r="M112" s="324" t="n">
        <f aca="false">M106+M91</f>
        <v>145.056160023853</v>
      </c>
      <c r="N112" s="721"/>
      <c r="O112" s="324" t="n">
        <f aca="false">O106+O91</f>
        <v>92.0698889223043</v>
      </c>
      <c r="P112" s="324" t="n">
        <f aca="false">P106+P91</f>
        <v>101.728764863858</v>
      </c>
      <c r="Q112" s="689"/>
      <c r="R112" s="324" t="n">
        <f aca="false">R106+S91</f>
        <v>0</v>
      </c>
      <c r="S112" s="324" t="n">
        <f aca="false">S106+T91</f>
        <v>0</v>
      </c>
      <c r="T112" s="324" t="n">
        <f aca="false">T106+U91</f>
        <v>0</v>
      </c>
      <c r="U112" s="324" t="n">
        <f aca="false">U106+X91</f>
        <v>0</v>
      </c>
      <c r="V112" s="324"/>
      <c r="W112" s="324"/>
      <c r="X112" s="324" t="n">
        <f aca="false">X106+X91</f>
        <v>0</v>
      </c>
      <c r="Y112" s="688"/>
      <c r="Z112" s="324" t="n">
        <f aca="false">Z106+Z91</f>
        <v>0</v>
      </c>
      <c r="AA112" s="324" t="n">
        <f aca="false">AA106+AA91</f>
        <v>0</v>
      </c>
      <c r="AB112" s="324"/>
      <c r="AP112" s="324"/>
      <c r="AQ112" s="324"/>
      <c r="AR112" s="324" t="n">
        <f aca="false">AR106+AR91</f>
        <v>108.650872661553</v>
      </c>
      <c r="AS112" s="324" t="n">
        <f aca="false">AS106+AS91</f>
        <v>82.5432244921472</v>
      </c>
      <c r="AT112" s="324" t="n">
        <f aca="false">AT106+AT91</f>
        <v>145.056160023853</v>
      </c>
      <c r="AU112" s="324" t="n">
        <f aca="false">AU106+AU91</f>
        <v>92.0698889223043</v>
      </c>
      <c r="AV112" s="324" t="n">
        <f aca="false">AV106+AV91</f>
        <v>101.728764863858</v>
      </c>
    </row>
    <row r="113" customFormat="false" ht="15" hidden="false" customHeight="false" outlineLevel="0" collapsed="false">
      <c r="A113" s="667" t="s">
        <v>779</v>
      </c>
      <c r="G113" s="660" t="n">
        <f aca="false">G107+G92</f>
        <v>-9.04189200000001</v>
      </c>
      <c r="H113" s="660" t="n">
        <f aca="false">H107+H92</f>
        <v>-9.541961</v>
      </c>
      <c r="I113" s="660" t="n">
        <f aca="false">I107+I92</f>
        <v>-10.262901</v>
      </c>
      <c r="J113" s="660" t="n">
        <f aca="false">J107+J92</f>
        <v>-10.239654</v>
      </c>
      <c r="K113" s="660"/>
      <c r="L113" s="660"/>
      <c r="M113" s="660" t="n">
        <f aca="false">M107+M92</f>
        <v>-11.5186372450682</v>
      </c>
      <c r="N113" s="721"/>
      <c r="O113" s="660" t="n">
        <f aca="false">O107+O92</f>
        <v>-10.12180052</v>
      </c>
      <c r="P113" s="660" t="n">
        <f aca="false">P107+P92</f>
        <v>-10.0063041096</v>
      </c>
      <c r="Q113" s="370"/>
      <c r="R113" s="660" t="n">
        <f aca="false">R107+S92</f>
        <v>-1.79328299999999</v>
      </c>
      <c r="S113" s="660" t="n">
        <f aca="false">S107+T92</f>
        <v>-10.845095</v>
      </c>
      <c r="T113" s="660" t="n">
        <f aca="false">T107+U92</f>
        <v>0.815669999999983</v>
      </c>
      <c r="U113" s="660" t="n">
        <f aca="false">U107+X92</f>
        <v>-0.167468883204189</v>
      </c>
      <c r="V113" s="660"/>
      <c r="W113" s="660"/>
      <c r="X113" s="660" t="n">
        <f aca="false">X107+X92</f>
        <v>0</v>
      </c>
      <c r="Y113" s="725"/>
      <c r="Z113" s="660" t="n">
        <f aca="false">Z107+Z92</f>
        <v>0</v>
      </c>
      <c r="AA113" s="660" t="n">
        <f aca="false">AA107+AA92</f>
        <v>0</v>
      </c>
      <c r="AB113" s="370"/>
      <c r="AP113" s="370"/>
      <c r="AQ113" s="370"/>
      <c r="AR113" s="660" t="n">
        <f aca="false">AR107+AR92</f>
        <v>-10.262901</v>
      </c>
      <c r="AS113" s="660" t="n">
        <f aca="false">AS107+AS92</f>
        <v>-10.239654</v>
      </c>
      <c r="AT113" s="660" t="n">
        <f aca="false">AT107+AT92</f>
        <v>-11.5186372450682</v>
      </c>
      <c r="AU113" s="660" t="n">
        <f aca="false">AU107+AU92</f>
        <v>-10.12180052</v>
      </c>
      <c r="AV113" s="660" t="n">
        <f aca="false">AV107+AV92</f>
        <v>-10.0063041096</v>
      </c>
    </row>
    <row r="114" customFormat="false" ht="13.5" hidden="false" customHeight="false" outlineLevel="0" collapsed="false">
      <c r="G114" s="663" t="n">
        <f aca="false">SUM(G111:G113)</f>
        <v>624.195233</v>
      </c>
      <c r="H114" s="663" t="n">
        <f aca="false">SUM(H111:H113)</f>
        <v>629.365076</v>
      </c>
      <c r="I114" s="663" t="n">
        <f aca="false">SUM(I111:I113)</f>
        <v>631.989949</v>
      </c>
      <c r="J114" s="663" t="n">
        <f aca="false">SUM(J111:J113)</f>
        <v>593.516546</v>
      </c>
      <c r="K114" s="663"/>
      <c r="L114" s="663"/>
      <c r="M114" s="663" t="n">
        <f aca="false">SUM(M111:M113)</f>
        <v>773.189546</v>
      </c>
      <c r="N114" s="721"/>
      <c r="O114" s="663" t="n">
        <f aca="false">SUM(O111:O113)</f>
        <v>704.874512069366</v>
      </c>
      <c r="P114" s="663" t="n">
        <f aca="false">SUM(P111:P113)</f>
        <v>764.779017018355</v>
      </c>
      <c r="Q114" s="661"/>
      <c r="R114" s="663" t="n">
        <f aca="false">SUM(R111:R113)</f>
        <v>425.121322</v>
      </c>
      <c r="S114" s="663" t="n">
        <f aca="false">SUM(S111:S113)</f>
        <v>385.025401</v>
      </c>
      <c r="T114" s="663" t="n">
        <f aca="false">SUM(T111:T113)</f>
        <v>417.237498</v>
      </c>
      <c r="U114" s="663" t="n">
        <f aca="false">SUM(U111:U113)</f>
        <v>291.500183116796</v>
      </c>
      <c r="V114" s="663"/>
      <c r="W114" s="663"/>
      <c r="X114" s="663" t="n">
        <f aca="false">SUM(X111:X113)</f>
        <v>285.209652</v>
      </c>
      <c r="Y114" s="705"/>
      <c r="Z114" s="663" t="n">
        <f aca="false">SUM(Z111:Z113)</f>
        <v>377.027046063931</v>
      </c>
      <c r="AA114" s="663" t="n">
        <f aca="false">SUM(AA111:AA113)</f>
        <v>447.234543293612</v>
      </c>
      <c r="AB114" s="661"/>
      <c r="AP114" s="661"/>
      <c r="AQ114" s="661"/>
      <c r="AR114" s="663" t="n">
        <f aca="false">SUM(AR111:AR113)</f>
        <v>1048.411777</v>
      </c>
      <c r="AS114" s="663" t="n">
        <f aca="false">SUM(AS111:AS113)</f>
        <v>885.184198000001</v>
      </c>
      <c r="AT114" s="663" t="n">
        <f aca="false">SUM(AT111:AT113)</f>
        <v>1058.399198</v>
      </c>
      <c r="AU114" s="663" t="n">
        <f aca="false">SUM(AU111:AU113)</f>
        <v>1081.9015581333</v>
      </c>
      <c r="AV114" s="663" t="n">
        <f aca="false">SUM(AV111:AV113)</f>
        <v>1212.01356031197</v>
      </c>
      <c r="AW114" s="661"/>
      <c r="AX114" s="661"/>
      <c r="AY114" s="661"/>
      <c r="AZ114" s="661"/>
      <c r="BA114" s="661"/>
      <c r="BB114" s="661"/>
      <c r="BC114" s="661"/>
      <c r="BD114" s="661"/>
      <c r="BE114" s="661"/>
      <c r="BF114" s="661"/>
    </row>
    <row r="115" customFormat="false" ht="13.5" hidden="false" customHeight="false" outlineLevel="0" collapsed="false">
      <c r="G115" s="664"/>
      <c r="H115" s="664"/>
      <c r="I115" s="664"/>
      <c r="J115" s="664"/>
      <c r="K115" s="664"/>
      <c r="L115" s="664"/>
      <c r="M115" s="664"/>
      <c r="N115" s="721"/>
      <c r="O115" s="664"/>
      <c r="P115" s="661"/>
      <c r="Q115" s="661"/>
      <c r="R115" s="664"/>
      <c r="S115" s="664"/>
      <c r="T115" s="664"/>
      <c r="U115" s="664"/>
      <c r="V115" s="664"/>
      <c r="W115" s="664"/>
      <c r="X115" s="664"/>
      <c r="Y115" s="705"/>
      <c r="Z115" s="664"/>
      <c r="AA115" s="664"/>
      <c r="AB115" s="661"/>
      <c r="AP115" s="661"/>
      <c r="AQ115" s="661"/>
      <c r="AR115" s="664"/>
      <c r="AS115" s="664"/>
      <c r="AT115" s="664"/>
    </row>
    <row r="116" customFormat="false" ht="12.75" hidden="false" customHeight="false" outlineLevel="0" collapsed="false">
      <c r="G116" s="324"/>
      <c r="H116" s="54" t="n">
        <f aca="false">H114/H68</f>
        <v>0.326136606287945</v>
      </c>
      <c r="I116" s="54" t="n">
        <f aca="false">I114/I68</f>
        <v>0.262918122339087</v>
      </c>
      <c r="J116" s="54" t="n">
        <f aca="false">J114/J68</f>
        <v>0.211148935288354</v>
      </c>
      <c r="K116" s="54"/>
      <c r="L116" s="54"/>
      <c r="M116" s="54" t="n">
        <f aca="false">M114/M68</f>
        <v>0.229537273798683</v>
      </c>
      <c r="N116" s="721"/>
      <c r="O116" s="54" t="n">
        <f aca="false">O114/O68</f>
        <v>0.241860173806707</v>
      </c>
      <c r="P116" s="54" t="n">
        <f aca="false">P114/P68</f>
        <v>0.257797323213388</v>
      </c>
      <c r="Q116" s="324"/>
      <c r="R116" s="324"/>
      <c r="S116" s="324"/>
      <c r="T116" s="324"/>
      <c r="U116" s="324"/>
      <c r="V116" s="324"/>
      <c r="W116" s="324"/>
      <c r="X116" s="451"/>
      <c r="Y116" s="688"/>
      <c r="Z116" s="451" t="n">
        <f aca="false">Z114/Z68</f>
        <v>0.152136179462969</v>
      </c>
      <c r="AA116" s="451" t="n">
        <f aca="false">AA114/AA68</f>
        <v>0.176183740903655</v>
      </c>
      <c r="AB116" s="324"/>
      <c r="AP116" s="324"/>
      <c r="AQ116" s="324"/>
      <c r="AR116" s="451"/>
      <c r="AS116" s="324"/>
    </row>
    <row r="117" customFormat="false" ht="12.75" hidden="false" customHeight="false" outlineLevel="0" collapsed="false">
      <c r="A117" s="28" t="s">
        <v>814</v>
      </c>
      <c r="G117" s="733"/>
      <c r="H117" s="733"/>
      <c r="I117" s="733"/>
      <c r="J117" s="733"/>
      <c r="K117" s="733"/>
      <c r="L117" s="733"/>
      <c r="M117" s="733"/>
      <c r="N117" s="721"/>
      <c r="O117" s="733"/>
      <c r="P117" s="324"/>
      <c r="Q117" s="324"/>
      <c r="R117" s="733"/>
      <c r="S117" s="733"/>
      <c r="T117" s="733"/>
      <c r="U117" s="733"/>
      <c r="V117" s="733"/>
      <c r="W117" s="733"/>
      <c r="X117" s="733"/>
      <c r="Y117" s="734"/>
      <c r="Z117" s="733"/>
      <c r="AA117" s="733"/>
      <c r="AB117" s="324"/>
      <c r="AP117" s="324"/>
      <c r="AQ117" s="324"/>
      <c r="AR117" s="451"/>
      <c r="AS117" s="359"/>
      <c r="AT117" s="324"/>
      <c r="AU117" s="324"/>
    </row>
    <row r="118" customFormat="false" ht="12.75" hidden="false" customHeight="false" outlineLevel="0" collapsed="false">
      <c r="A118" s="0" t="s">
        <v>612</v>
      </c>
      <c r="F118" s="324"/>
      <c r="G118" s="735" t="n">
        <f aca="false">G121*G25/G68</f>
        <v>110.414962198296</v>
      </c>
      <c r="H118" s="736" t="n">
        <f aca="false">H121*H25/H68</f>
        <v>92.4458666537708</v>
      </c>
      <c r="I118" s="736" t="n">
        <f aca="false">I121*I25/I68</f>
        <v>91.9458879609928</v>
      </c>
      <c r="J118" s="736" t="n">
        <f aca="false">J121*J25/J68</f>
        <v>87.5643661807485</v>
      </c>
      <c r="K118" s="670"/>
      <c r="L118" s="670"/>
      <c r="M118" s="737" t="n">
        <f aca="false">J118/J$121*M$121</f>
        <v>85.0086425879224</v>
      </c>
      <c r="N118" s="721"/>
      <c r="O118" s="670" t="n">
        <f aca="false">J118</f>
        <v>87.5643661807485</v>
      </c>
      <c r="P118" s="670" t="n">
        <f aca="false">O118</f>
        <v>87.5643661807485</v>
      </c>
      <c r="Q118" s="324"/>
      <c r="R118" s="735" t="n">
        <f aca="false">R121*R25/R68</f>
        <v>82.187147</v>
      </c>
      <c r="S118" s="736" t="n">
        <f aca="false">S121*S25/S68</f>
        <v>79.186999</v>
      </c>
      <c r="T118" s="736" t="n">
        <f aca="false">T121*T25/T68</f>
        <v>84.454575</v>
      </c>
      <c r="U118" s="736" t="n">
        <f aca="false">U121*U25/U68</f>
        <v>89.358829</v>
      </c>
      <c r="V118" s="738"/>
      <c r="W118" s="738"/>
      <c r="X118" s="739" t="n">
        <f aca="false">U118/U$121*X$121</f>
        <v>85.422829</v>
      </c>
      <c r="Y118" s="688"/>
      <c r="Z118" s="665" t="n">
        <f aca="false">U118</f>
        <v>89.358829</v>
      </c>
      <c r="AA118" s="665" t="n">
        <f aca="false">Z118</f>
        <v>89.358829</v>
      </c>
      <c r="AB118" s="324"/>
      <c r="AP118" s="324"/>
      <c r="AQ118" s="324"/>
      <c r="AR118" s="449" t="n">
        <f aca="false">T118+I118+AQ118+AF118</f>
        <v>176.400462960993</v>
      </c>
      <c r="AS118" s="449" t="n">
        <f aca="false">U118+J118+AG118</f>
        <v>176.923195180748</v>
      </c>
      <c r="AT118" s="324" t="n">
        <f aca="false">X118+M118+AJ118</f>
        <v>170.431471587922</v>
      </c>
      <c r="AU118" s="665" t="n">
        <f aca="false">O118+Z118+AL118</f>
        <v>176.923195180748</v>
      </c>
      <c r="AV118" s="665" t="n">
        <f aca="false">P118+AA118+AM118</f>
        <v>176.923195180748</v>
      </c>
    </row>
    <row r="119" customFormat="false" ht="12.75" hidden="false" customHeight="false" outlineLevel="0" collapsed="false">
      <c r="A119" s="0" t="s">
        <v>575</v>
      </c>
      <c r="F119" s="324"/>
      <c r="G119" s="735" t="n">
        <f aca="false">G121-G118</f>
        <v>32.5510378017042</v>
      </c>
      <c r="H119" s="736" t="n">
        <f aca="false">H121-H118</f>
        <v>30.1041333462292</v>
      </c>
      <c r="I119" s="736" t="n">
        <f aca="false">I121-I118</f>
        <v>23.8821120390072</v>
      </c>
      <c r="J119" s="736" t="n">
        <f aca="false">J121-J118</f>
        <v>14.6736338192515</v>
      </c>
      <c r="K119" s="670"/>
      <c r="L119" s="670"/>
      <c r="M119" s="740" t="n">
        <f aca="false">J119/J$121*M$121</f>
        <v>14.2453574120776</v>
      </c>
      <c r="N119" s="721"/>
      <c r="O119" s="738" t="n">
        <f aca="false">J119</f>
        <v>14.6736338192515</v>
      </c>
      <c r="P119" s="738" t="n">
        <f aca="false">O119</f>
        <v>14.6736338192515</v>
      </c>
      <c r="Q119" s="324"/>
      <c r="R119" s="735" t="n">
        <f aca="false">R121-R118</f>
        <v>0</v>
      </c>
      <c r="S119" s="736" t="n">
        <f aca="false">S121-S118</f>
        <v>0</v>
      </c>
      <c r="T119" s="736" t="n">
        <f aca="false">T121-T118</f>
        <v>0</v>
      </c>
      <c r="U119" s="736" t="n">
        <f aca="false">U121-U118</f>
        <v>0</v>
      </c>
      <c r="V119" s="324"/>
      <c r="W119" s="324"/>
      <c r="X119" s="324" t="n">
        <f aca="false">U119/U$121*X$121</f>
        <v>0</v>
      </c>
      <c r="Y119" s="688"/>
      <c r="Z119" s="324" t="n">
        <f aca="false">U119</f>
        <v>0</v>
      </c>
      <c r="AA119" s="324" t="n">
        <f aca="false">Z119</f>
        <v>0</v>
      </c>
      <c r="AB119" s="324"/>
      <c r="AP119" s="324"/>
      <c r="AQ119" s="324"/>
      <c r="AR119" s="449" t="n">
        <f aca="false">T119+I119+AQ119+AF119</f>
        <v>23.8821120390072</v>
      </c>
      <c r="AS119" s="449" t="n">
        <f aca="false">U119+J119+AG119</f>
        <v>14.6736338192515</v>
      </c>
      <c r="AT119" s="324" t="n">
        <f aca="false">X119+M119+AJ119</f>
        <v>14.2453574120776</v>
      </c>
      <c r="AU119" s="665" t="n">
        <f aca="false">O119+Z119+AL119</f>
        <v>14.6736338192515</v>
      </c>
      <c r="AV119" s="665" t="n">
        <f aca="false">P119+AA119+AM119</f>
        <v>14.6736338192515</v>
      </c>
    </row>
    <row r="120" customFormat="false" ht="15" hidden="false" customHeight="false" outlineLevel="0" collapsed="false">
      <c r="A120" s="667" t="s">
        <v>779</v>
      </c>
      <c r="F120" s="324"/>
      <c r="G120" s="741" t="n">
        <v>0</v>
      </c>
      <c r="H120" s="741" t="n">
        <v>0</v>
      </c>
      <c r="I120" s="741" t="n">
        <v>0</v>
      </c>
      <c r="J120" s="741" t="n">
        <v>0</v>
      </c>
      <c r="K120" s="741" t="n">
        <v>0</v>
      </c>
      <c r="L120" s="741" t="n">
        <v>0</v>
      </c>
      <c r="M120" s="742" t="n">
        <f aca="false">J120/J$121*M$121</f>
        <v>0</v>
      </c>
      <c r="N120" s="721"/>
      <c r="O120" s="668" t="n">
        <f aca="false">J120</f>
        <v>0</v>
      </c>
      <c r="P120" s="668" t="n">
        <f aca="false">O120</f>
        <v>0</v>
      </c>
      <c r="Q120" s="324"/>
      <c r="R120" s="738"/>
      <c r="S120" s="660" t="n">
        <v>0</v>
      </c>
      <c r="T120" s="660" t="n">
        <v>0</v>
      </c>
      <c r="U120" s="660" t="n">
        <v>0</v>
      </c>
      <c r="V120" s="660" t="n">
        <v>0</v>
      </c>
      <c r="W120" s="660" t="n">
        <v>0</v>
      </c>
      <c r="X120" s="660" t="n">
        <f aca="false">U120/U$121*X$121</f>
        <v>0</v>
      </c>
      <c r="Y120" s="725"/>
      <c r="Z120" s="660" t="n">
        <f aca="false">U120</f>
        <v>0</v>
      </c>
      <c r="AA120" s="660" t="n">
        <f aca="false">Z120</f>
        <v>0</v>
      </c>
      <c r="AB120" s="324"/>
      <c r="AP120" s="324"/>
      <c r="AQ120" s="324"/>
      <c r="AR120" s="668" t="n">
        <f aca="false">T120+I120+AQ120+AF120</f>
        <v>0</v>
      </c>
      <c r="AS120" s="668" t="n">
        <f aca="false">U120+J120+AG120</f>
        <v>0</v>
      </c>
      <c r="AT120" s="660" t="n">
        <f aca="false">X120+M120+AJ120</f>
        <v>0</v>
      </c>
      <c r="AU120" s="666" t="n">
        <f aca="false">O120+Z120+AL120</f>
        <v>0</v>
      </c>
      <c r="AV120" s="666" t="n">
        <f aca="false">P120+AA120+AM120</f>
        <v>0</v>
      </c>
    </row>
    <row r="121" customFormat="false" ht="12.75" hidden="false" customHeight="false" outlineLevel="0" collapsed="false">
      <c r="A121" s="667"/>
      <c r="F121" s="324"/>
      <c r="G121" s="743" t="n">
        <v>142.966</v>
      </c>
      <c r="H121" s="743" t="n">
        <v>122.55</v>
      </c>
      <c r="I121" s="743" t="n">
        <v>115.828</v>
      </c>
      <c r="J121" s="743" t="n">
        <v>102.238</v>
      </c>
      <c r="K121" s="670" t="n">
        <v>48.978</v>
      </c>
      <c r="L121" s="670" t="n">
        <v>51.962</v>
      </c>
      <c r="M121" s="449" t="n">
        <f aca="false">J121+K121-L121</f>
        <v>99.254</v>
      </c>
      <c r="N121" s="721"/>
      <c r="O121" s="449" t="n">
        <f aca="false">SUM(O118:O120)</f>
        <v>102.238</v>
      </c>
      <c r="P121" s="449" t="n">
        <f aca="false">SUM(P118:P120)</f>
        <v>102.238</v>
      </c>
      <c r="Q121" s="324"/>
      <c r="R121" s="744" t="n">
        <v>82.187147</v>
      </c>
      <c r="S121" s="744" t="n">
        <v>79.186999</v>
      </c>
      <c r="T121" s="744" t="n">
        <v>84.454575</v>
      </c>
      <c r="U121" s="744" t="n">
        <v>89.358829</v>
      </c>
      <c r="V121" s="738" t="n">
        <v>41.86</v>
      </c>
      <c r="W121" s="738" t="n">
        <v>45.796</v>
      </c>
      <c r="X121" s="739" t="n">
        <f aca="false">U121+V121-W121</f>
        <v>85.422829</v>
      </c>
      <c r="Y121" s="745"/>
      <c r="Z121" s="739" t="n">
        <f aca="false">SUM(Z118:Z120)</f>
        <v>89.358829</v>
      </c>
      <c r="AA121" s="739" t="n">
        <f aca="false">SUM(AA118:AA120)</f>
        <v>89.358829</v>
      </c>
      <c r="AB121" s="324"/>
      <c r="AP121" s="324"/>
      <c r="AQ121" s="324"/>
      <c r="AR121" s="451" t="n">
        <f aca="false">SUM(AR118:AR120)</f>
        <v>200.282575</v>
      </c>
      <c r="AS121" s="451" t="n">
        <f aca="false">SUM(AS118:AS120)</f>
        <v>191.596829</v>
      </c>
      <c r="AT121" s="451" t="n">
        <f aca="false">SUM(AT118:AT120)</f>
        <v>184.676829</v>
      </c>
      <c r="AU121" s="451" t="n">
        <f aca="false">SUM(AU118:AU120)</f>
        <v>191.596829</v>
      </c>
      <c r="AV121" s="451" t="n">
        <f aca="false">SUM(AV118:AV120)</f>
        <v>191.596829</v>
      </c>
    </row>
    <row r="122" customFormat="false" ht="12.75" hidden="false" customHeight="false" outlineLevel="0" collapsed="false">
      <c r="A122" s="28"/>
      <c r="F122" s="324"/>
      <c r="G122" s="733"/>
      <c r="H122" s="669"/>
      <c r="I122" s="669"/>
      <c r="J122" s="669"/>
      <c r="K122" s="669"/>
      <c r="L122" s="669"/>
      <c r="M122" s="733"/>
      <c r="N122" s="721"/>
      <c r="O122" s="733"/>
      <c r="P122" s="324"/>
      <c r="Q122" s="324"/>
      <c r="R122" s="733"/>
      <c r="S122" s="733"/>
      <c r="T122" s="733"/>
      <c r="U122" s="733"/>
      <c r="V122" s="733"/>
      <c r="W122" s="733"/>
      <c r="X122" s="733"/>
      <c r="Y122" s="734"/>
      <c r="Z122" s="733"/>
      <c r="AA122" s="733"/>
      <c r="AB122" s="324"/>
      <c r="AP122" s="324"/>
      <c r="AQ122" s="324"/>
      <c r="AR122" s="359"/>
      <c r="AS122" s="359"/>
      <c r="AT122" s="324"/>
      <c r="AU122" s="324"/>
      <c r="AV122" s="324"/>
    </row>
    <row r="123" customFormat="false" ht="12.75" hidden="false" customHeight="false" outlineLevel="0" collapsed="false">
      <c r="A123" s="28" t="s">
        <v>815</v>
      </c>
      <c r="F123" s="324"/>
      <c r="G123" s="733"/>
      <c r="H123" s="669"/>
      <c r="I123" s="669"/>
      <c r="J123" s="669"/>
      <c r="K123" s="669"/>
      <c r="L123" s="669"/>
      <c r="M123" s="733"/>
      <c r="N123" s="721"/>
      <c r="O123" s="733"/>
      <c r="P123" s="324"/>
      <c r="Q123" s="324"/>
      <c r="R123" s="733"/>
      <c r="S123" s="733"/>
      <c r="T123" s="733"/>
      <c r="U123" s="733"/>
      <c r="V123" s="733"/>
      <c r="W123" s="733"/>
      <c r="X123" s="733"/>
      <c r="Y123" s="734"/>
      <c r="Z123" s="733"/>
      <c r="AA123" s="733"/>
      <c r="AB123" s="324"/>
      <c r="AP123" s="324"/>
      <c r="AQ123" s="324"/>
      <c r="AR123" s="451"/>
      <c r="AS123" s="359"/>
      <c r="AT123" s="324"/>
      <c r="AU123" s="324"/>
      <c r="AV123" s="324"/>
    </row>
    <row r="124" customFormat="false" ht="12.75" hidden="false" customHeight="false" outlineLevel="0" collapsed="false">
      <c r="A124" s="0" t="s">
        <v>612</v>
      </c>
      <c r="F124" s="324"/>
      <c r="G124" s="738"/>
      <c r="H124" s="670"/>
      <c r="I124" s="670"/>
      <c r="J124" s="670"/>
      <c r="K124" s="670"/>
      <c r="L124" s="670"/>
      <c r="M124" s="735" t="n">
        <v>0</v>
      </c>
      <c r="N124" s="721" t="n">
        <v>0.02</v>
      </c>
      <c r="O124" s="709" t="n">
        <f aca="false">M124*(1+$N$124)</f>
        <v>0</v>
      </c>
      <c r="P124" s="709" t="n">
        <f aca="false">O124*(1+$N$124)</f>
        <v>0</v>
      </c>
      <c r="Q124" s="324"/>
      <c r="R124" s="738" t="n">
        <v>0.172</v>
      </c>
      <c r="S124" s="738" t="n">
        <v>3.101</v>
      </c>
      <c r="T124" s="738" t="n">
        <v>4.624</v>
      </c>
      <c r="U124" s="738" t="n">
        <v>3.3</v>
      </c>
      <c r="V124" s="738"/>
      <c r="W124" s="738"/>
      <c r="X124" s="739" t="n">
        <f aca="false">U124+2.168-1.714</f>
        <v>3.754</v>
      </c>
      <c r="Y124" s="688" t="n">
        <v>0.02</v>
      </c>
      <c r="Z124" s="665" t="n">
        <f aca="false">X124*(1+$N$124)</f>
        <v>3.82908</v>
      </c>
      <c r="AA124" s="665" t="n">
        <f aca="false">Z124*(1+$N$124)</f>
        <v>3.9056616</v>
      </c>
      <c r="AB124" s="324"/>
      <c r="AP124" s="324"/>
      <c r="AQ124" s="324"/>
      <c r="AR124" s="449" t="n">
        <f aca="false">T124+I124+AQ124+AF124</f>
        <v>4.624</v>
      </c>
      <c r="AS124" s="449" t="n">
        <f aca="false">U124+J124+AG124</f>
        <v>3.3</v>
      </c>
      <c r="AT124" s="324" t="n">
        <f aca="false">X124+M124+AJ124</f>
        <v>3.754</v>
      </c>
      <c r="AU124" s="665" t="n">
        <f aca="false">O124+Z124+AL124</f>
        <v>3.82908</v>
      </c>
      <c r="AV124" s="665" t="n">
        <f aca="false">P124+AA124+AM124</f>
        <v>3.9056616</v>
      </c>
    </row>
    <row r="125" customFormat="false" ht="12.75" hidden="false" customHeight="false" outlineLevel="0" collapsed="false">
      <c r="A125" s="0" t="s">
        <v>575</v>
      </c>
      <c r="F125" s="324"/>
      <c r="G125" s="746"/>
      <c r="H125" s="670"/>
      <c r="I125" s="670"/>
      <c r="J125" s="670"/>
      <c r="K125" s="670"/>
      <c r="L125" s="670"/>
      <c r="M125" s="670" t="n">
        <v>0</v>
      </c>
      <c r="N125" s="721"/>
      <c r="O125" s="709" t="n">
        <f aca="false">J125*(1+$N$124)</f>
        <v>0</v>
      </c>
      <c r="P125" s="709" t="n">
        <f aca="false">O125*(1+$N$124)</f>
        <v>0</v>
      </c>
      <c r="Q125" s="324"/>
      <c r="R125" s="733"/>
      <c r="S125" s="747" t="n">
        <f aca="false">D125</f>
        <v>0</v>
      </c>
      <c r="T125" s="747" t="n">
        <f aca="false">E125</f>
        <v>0</v>
      </c>
      <c r="U125" s="747" t="n">
        <f aca="false">F125</f>
        <v>0</v>
      </c>
      <c r="V125" s="747"/>
      <c r="W125" s="747"/>
      <c r="X125" s="747" t="n">
        <f aca="false">G125</f>
        <v>0</v>
      </c>
      <c r="Y125" s="748"/>
      <c r="Z125" s="449" t="n">
        <f aca="false">U125*(1+$N$124)</f>
        <v>0</v>
      </c>
      <c r="AA125" s="449" t="n">
        <f aca="false">Z125*(1+$N$124)</f>
        <v>0</v>
      </c>
      <c r="AB125" s="324"/>
      <c r="AP125" s="324"/>
      <c r="AQ125" s="324"/>
      <c r="AR125" s="669" t="n">
        <f aca="false">T125+I125+AQ125+AF125</f>
        <v>0</v>
      </c>
      <c r="AS125" s="449" t="n">
        <f aca="false">U125+J125+AG125</f>
        <v>0</v>
      </c>
      <c r="AT125" s="669" t="n">
        <f aca="false">X125+M125+AJ125</f>
        <v>0</v>
      </c>
      <c r="AU125" s="665" t="n">
        <f aca="false">O125+Z125+AL125</f>
        <v>0</v>
      </c>
      <c r="AV125" s="665" t="n">
        <f aca="false">P125+AA125+AM125</f>
        <v>0</v>
      </c>
    </row>
    <row r="126" customFormat="false" ht="15" hidden="false" customHeight="false" outlineLevel="0" collapsed="false">
      <c r="A126" s="0" t="s">
        <v>779</v>
      </c>
      <c r="F126" s="324"/>
      <c r="G126" s="749" t="n">
        <v>14.548</v>
      </c>
      <c r="H126" s="741" t="n">
        <v>-11.699</v>
      </c>
      <c r="I126" s="741" t="n">
        <v>-6.156</v>
      </c>
      <c r="J126" s="741" t="n">
        <v>-1.291</v>
      </c>
      <c r="K126" s="741" t="n">
        <v>0</v>
      </c>
      <c r="L126" s="741" t="n">
        <v>0</v>
      </c>
      <c r="M126" s="750" t="n">
        <v>0</v>
      </c>
      <c r="N126" s="721"/>
      <c r="O126" s="666" t="n">
        <f aca="false">J126*(1+$N$124)</f>
        <v>-1.31682</v>
      </c>
      <c r="P126" s="666" t="n">
        <f aca="false">O126*(1+$N$124)</f>
        <v>-1.3431564</v>
      </c>
      <c r="Q126" s="324"/>
      <c r="R126" s="749" t="n">
        <f aca="false">R127-R124-R125</f>
        <v>0</v>
      </c>
      <c r="S126" s="741" t="n">
        <f aca="false">S127-S124-S125</f>
        <v>0</v>
      </c>
      <c r="T126" s="741" t="n">
        <f aca="false">T127-T124-T125</f>
        <v>0</v>
      </c>
      <c r="U126" s="741" t="n">
        <f aca="false">U127-U124-U125</f>
        <v>0</v>
      </c>
      <c r="V126" s="751"/>
      <c r="W126" s="751"/>
      <c r="X126" s="751" t="n">
        <f aca="false">G126</f>
        <v>14.548</v>
      </c>
      <c r="Y126" s="752"/>
      <c r="Z126" s="668" t="n">
        <f aca="false">U126*(1+$N$124)</f>
        <v>0</v>
      </c>
      <c r="AA126" s="668" t="n">
        <f aca="false">Z126*(1+$N$124)</f>
        <v>0</v>
      </c>
      <c r="AB126" s="324"/>
      <c r="AP126" s="324"/>
      <c r="AQ126" s="324"/>
      <c r="AR126" s="668" t="n">
        <f aca="false">T126+I126+AQ126+AF126</f>
        <v>-6.156</v>
      </c>
      <c r="AS126" s="668" t="n">
        <f aca="false">U126+J126+AG126</f>
        <v>-1.291</v>
      </c>
      <c r="AT126" s="660" t="n">
        <f aca="false">X126+M126+AJ126</f>
        <v>14.548</v>
      </c>
      <c r="AU126" s="666" t="n">
        <f aca="false">O126+Z126+AL126</f>
        <v>-1.31682</v>
      </c>
      <c r="AV126" s="666" t="n">
        <f aca="false">P126+AA126+AM126</f>
        <v>-1.3431564</v>
      </c>
    </row>
    <row r="127" customFormat="false" ht="12.75" hidden="false" customHeight="false" outlineLevel="0" collapsed="false">
      <c r="A127" s="28"/>
      <c r="F127" s="324"/>
      <c r="G127" s="739" t="n">
        <f aca="false">SUM(G124:G126)</f>
        <v>14.548</v>
      </c>
      <c r="H127" s="739" t="n">
        <f aca="false">SUM(H124:H126)</f>
        <v>-11.699</v>
      </c>
      <c r="I127" s="739" t="n">
        <f aca="false">SUM(I124:I126)</f>
        <v>-6.156</v>
      </c>
      <c r="J127" s="739" t="n">
        <f aca="false">SUM(J124:J126)</f>
        <v>-1.291</v>
      </c>
      <c r="K127" s="670" t="n">
        <v>-0.624</v>
      </c>
      <c r="L127" s="670" t="n">
        <v>-2.859</v>
      </c>
      <c r="M127" s="449" t="n">
        <f aca="false">SUM(M124:M126)</f>
        <v>0</v>
      </c>
      <c r="N127" s="721"/>
      <c r="O127" s="449" t="n">
        <f aca="false">SUM(O124:O126)</f>
        <v>-1.31682</v>
      </c>
      <c r="P127" s="449" t="n">
        <f aca="false">SUM(P124:P126)</f>
        <v>-1.3431564</v>
      </c>
      <c r="Q127" s="324"/>
      <c r="R127" s="739" t="n">
        <f aca="false">1.113-0.941</f>
        <v>0.172</v>
      </c>
      <c r="S127" s="739" t="n">
        <v>3.101</v>
      </c>
      <c r="T127" s="739" t="n">
        <v>4.624</v>
      </c>
      <c r="U127" s="739" t="n">
        <v>3.3</v>
      </c>
      <c r="V127" s="738"/>
      <c r="W127" s="738"/>
      <c r="X127" s="738" t="n">
        <f aca="false">SUM(X124:X126)</f>
        <v>18.302</v>
      </c>
      <c r="Y127" s="745"/>
      <c r="Z127" s="739" t="n">
        <f aca="false">SUM(Z124:Z126)</f>
        <v>3.82908</v>
      </c>
      <c r="AA127" s="739" t="n">
        <f aca="false">SUM(AA124:AA126)</f>
        <v>3.9056616</v>
      </c>
      <c r="AB127" s="324"/>
      <c r="AP127" s="324"/>
      <c r="AQ127" s="324"/>
      <c r="AR127" s="449" t="n">
        <f aca="false">SUM(AR124:AR126)</f>
        <v>-1.532</v>
      </c>
      <c r="AS127" s="449" t="n">
        <f aca="false">SUM(AS124:AS126)</f>
        <v>2.009</v>
      </c>
      <c r="AT127" s="449" t="n">
        <f aca="false">SUM(AT124:AT126)</f>
        <v>18.302</v>
      </c>
      <c r="AU127" s="449" t="n">
        <f aca="false">SUM(AU124:AU126)</f>
        <v>2.51226</v>
      </c>
      <c r="AV127" s="449" t="n">
        <f aca="false">SUM(AV124:AV126)</f>
        <v>2.5625052</v>
      </c>
    </row>
    <row r="128" customFormat="false" ht="12.75" hidden="false" customHeight="false" outlineLevel="0" collapsed="false">
      <c r="A128" s="28"/>
      <c r="F128" s="324"/>
      <c r="G128" s="733"/>
      <c r="H128" s="670"/>
      <c r="I128" s="670"/>
      <c r="J128" s="670"/>
      <c r="K128" s="670"/>
      <c r="L128" s="670"/>
      <c r="M128" s="449"/>
      <c r="N128" s="721"/>
      <c r="O128" s="449"/>
      <c r="P128" s="449"/>
      <c r="Q128" s="324"/>
      <c r="R128" s="733"/>
      <c r="S128" s="738"/>
      <c r="T128" s="738"/>
      <c r="U128" s="738"/>
      <c r="V128" s="738"/>
      <c r="W128" s="738"/>
      <c r="X128" s="738"/>
      <c r="Y128" s="745"/>
      <c r="Z128" s="739"/>
      <c r="AA128" s="739"/>
      <c r="AB128" s="324"/>
      <c r="AP128" s="324"/>
      <c r="AQ128" s="324"/>
      <c r="AR128" s="670"/>
      <c r="AS128" s="670"/>
      <c r="AT128" s="451"/>
      <c r="AU128" s="324"/>
      <c r="AV128" s="324"/>
    </row>
    <row r="129" customFormat="false" ht="12.75" hidden="false" customHeight="false" outlineLevel="0" collapsed="false">
      <c r="A129" s="28" t="s">
        <v>816</v>
      </c>
      <c r="F129" s="324"/>
      <c r="G129" s="733"/>
      <c r="H129" s="670"/>
      <c r="I129" s="670"/>
      <c r="J129" s="670"/>
      <c r="K129" s="670"/>
      <c r="L129" s="670"/>
      <c r="M129" s="449"/>
      <c r="N129" s="721"/>
      <c r="O129" s="449"/>
      <c r="P129" s="449"/>
      <c r="Q129" s="324"/>
      <c r="R129" s="733"/>
      <c r="S129" s="738"/>
      <c r="T129" s="738"/>
      <c r="U129" s="738"/>
      <c r="V129" s="738"/>
      <c r="W129" s="738"/>
      <c r="X129" s="738"/>
      <c r="Y129" s="745"/>
      <c r="Z129" s="739"/>
      <c r="AA129" s="739"/>
      <c r="AB129" s="324"/>
      <c r="AP129" s="324"/>
      <c r="AQ129" s="324"/>
      <c r="AR129" s="670"/>
      <c r="AS129" s="670"/>
      <c r="AT129" s="451"/>
      <c r="AU129" s="324"/>
      <c r="AV129" s="324"/>
    </row>
    <row r="130" customFormat="false" ht="12.75" hidden="false" customHeight="false" outlineLevel="0" collapsed="false">
      <c r="A130" s="0" t="s">
        <v>612</v>
      </c>
      <c r="F130" s="324"/>
      <c r="G130" s="449" t="n">
        <f aca="false">G105-G118+G124</f>
        <v>292.855378903147</v>
      </c>
      <c r="H130" s="449" t="n">
        <f aca="false">H105-H118+H124</f>
        <v>303.5785544844</v>
      </c>
      <c r="I130" s="449" t="n">
        <f aca="false">I105-I118+I124</f>
        <v>296.222106377454</v>
      </c>
      <c r="J130" s="449" t="n">
        <f aca="false">J105-J118+J124</f>
        <v>274.221869327104</v>
      </c>
      <c r="K130" s="449"/>
      <c r="L130" s="449"/>
      <c r="M130" s="449" t="n">
        <f aca="false">M105-M118+M124</f>
        <v>390.473271960756</v>
      </c>
      <c r="N130" s="721"/>
      <c r="O130" s="449" t="n">
        <f aca="false">O105-O118+O124</f>
        <v>375.935317486313</v>
      </c>
      <c r="P130" s="449" t="n">
        <f aca="false">P105-P118+P124</f>
        <v>426.065450083348</v>
      </c>
      <c r="Q130" s="324"/>
      <c r="R130" s="739" t="n">
        <f aca="false">R105-R118+R124</f>
        <v>234.726628</v>
      </c>
      <c r="S130" s="739" t="n">
        <f aca="false">S105-S118+S124</f>
        <v>205.788384</v>
      </c>
      <c r="T130" s="739" t="n">
        <f aca="false">T105-T118+T124</f>
        <v>202.032045</v>
      </c>
      <c r="U130" s="739" t="n">
        <f aca="false">U105-U118+U124</f>
        <v>67.992285</v>
      </c>
      <c r="V130" s="739"/>
      <c r="W130" s="739"/>
      <c r="X130" s="739" t="n">
        <f aca="false">X105-X118+X124</f>
        <v>62.6378161167959</v>
      </c>
      <c r="Y130" s="745"/>
      <c r="Z130" s="739" t="n">
        <f aca="false">Z105-Z118+Z124</f>
        <v>153.880759063931</v>
      </c>
      <c r="AA130" s="739" t="n">
        <f aca="false">AA105-AA118+AA124</f>
        <v>224.164837893612</v>
      </c>
      <c r="AB130" s="324"/>
      <c r="AP130" s="324"/>
      <c r="AQ130" s="324"/>
      <c r="AR130" s="449" t="n">
        <f aca="false">T130+I130+AQ130+AF130</f>
        <v>498.254151377454</v>
      </c>
      <c r="AS130" s="449" t="n">
        <f aca="false">U130+J130+AG130</f>
        <v>342.214154327104</v>
      </c>
      <c r="AT130" s="324" t="n">
        <f aca="false">X130+M130+AJ130</f>
        <v>453.111088077552</v>
      </c>
      <c r="AU130" s="665" t="n">
        <f aca="false">O130+Z130+AL130</f>
        <v>529.816076550244</v>
      </c>
      <c r="AV130" s="665" t="n">
        <f aca="false">P130+AA130+AM130</f>
        <v>650.23028797696</v>
      </c>
    </row>
    <row r="131" customFormat="false" ht="12.75" hidden="false" customHeight="false" outlineLevel="0" collapsed="false">
      <c r="A131" s="0" t="s">
        <v>575</v>
      </c>
      <c r="F131" s="324"/>
      <c r="G131" s="449" t="n">
        <f aca="false">G106-G119+G125</f>
        <v>42.1088570968524</v>
      </c>
      <c r="H131" s="449" t="n">
        <f aca="false">H106-H119+H125</f>
        <v>54.2881385156</v>
      </c>
      <c r="I131" s="449" t="n">
        <f aca="false">I106-I119+I125</f>
        <v>67.418925622546</v>
      </c>
      <c r="J131" s="449" t="n">
        <f aca="false">J106-J119+J125</f>
        <v>49.9970236728957</v>
      </c>
      <c r="K131" s="449"/>
      <c r="L131" s="449"/>
      <c r="M131" s="449" t="n">
        <f aca="false">M106-M119+M125</f>
        <v>112.406479305363</v>
      </c>
      <c r="N131" s="721"/>
      <c r="O131" s="449" t="n">
        <f aca="false">O106-O119+O125</f>
        <v>59.5236881030527</v>
      </c>
      <c r="P131" s="449" t="n">
        <f aca="false">P106-P119+P125</f>
        <v>69.1825640446067</v>
      </c>
      <c r="Q131" s="324"/>
      <c r="R131" s="739" t="n">
        <f aca="false">R106-R119+R125</f>
        <v>0</v>
      </c>
      <c r="S131" s="449" t="n">
        <f aca="false">S106-S119+S125</f>
        <v>0</v>
      </c>
      <c r="T131" s="449" t="n">
        <f aca="false">T106-T119+T125</f>
        <v>0</v>
      </c>
      <c r="U131" s="449" t="n">
        <f aca="false">U106-U119+U125</f>
        <v>0</v>
      </c>
      <c r="V131" s="669"/>
      <c r="W131" s="669"/>
      <c r="X131" s="669" t="n">
        <v>0</v>
      </c>
      <c r="Y131" s="745"/>
      <c r="Z131" s="669" t="n">
        <f aca="false">Z106-Z119+Z125</f>
        <v>0</v>
      </c>
      <c r="AA131" s="669" t="n">
        <f aca="false">AA106-AA119+AA125</f>
        <v>0</v>
      </c>
      <c r="AB131" s="324"/>
      <c r="AP131" s="324"/>
      <c r="AQ131" s="324"/>
      <c r="AR131" s="449" t="n">
        <f aca="false">T131+I131+AQ131+AF131</f>
        <v>67.418925622546</v>
      </c>
      <c r="AS131" s="449" t="n">
        <f aca="false">U131+J131+AG131</f>
        <v>49.9970236728957</v>
      </c>
      <c r="AT131" s="324" t="n">
        <f aca="false">X131+M131+AJ131</f>
        <v>112.406479305363</v>
      </c>
      <c r="AU131" s="665" t="n">
        <f aca="false">O131+Z131+AL131</f>
        <v>59.5236881030527</v>
      </c>
      <c r="AV131" s="665" t="n">
        <f aca="false">P131+AA131+AM131</f>
        <v>69.1825640446067</v>
      </c>
    </row>
    <row r="132" customFormat="false" ht="15" hidden="false" customHeight="false" outlineLevel="0" collapsed="false">
      <c r="A132" s="667" t="s">
        <v>779</v>
      </c>
      <c r="F132" s="324"/>
      <c r="G132" s="668" t="n">
        <f aca="false">G107-G120+G126</f>
        <v>-10.554003</v>
      </c>
      <c r="H132" s="668" t="n">
        <f aca="false">H107-H120+H126</f>
        <v>-40.589617</v>
      </c>
      <c r="I132" s="668" t="n">
        <f aca="false">I107-I120+I126</f>
        <v>-33.826083</v>
      </c>
      <c r="J132" s="668" t="n">
        <f aca="false">J107-J120+J126</f>
        <v>-25.340347</v>
      </c>
      <c r="K132" s="668"/>
      <c r="L132" s="668"/>
      <c r="M132" s="668" t="n">
        <f aca="false">M107-M120+M126</f>
        <v>-25.739205266119</v>
      </c>
      <c r="N132" s="721"/>
      <c r="O132" s="668" t="n">
        <f aca="false">O107-O120+O126</f>
        <v>-25.24831352</v>
      </c>
      <c r="P132" s="668" t="n">
        <f aca="false">P107-P120+P126</f>
        <v>-25.1591535096</v>
      </c>
      <c r="Q132" s="324"/>
      <c r="R132" s="753" t="n">
        <f aca="false">R107-R120+R126</f>
        <v>-4.81017</v>
      </c>
      <c r="S132" s="668" t="n">
        <f aca="false">S107-S120+S126</f>
        <v>-3.01688700000001</v>
      </c>
      <c r="T132" s="668" t="n">
        <f aca="false">T107-T120+T126</f>
        <v>7.82820799999999</v>
      </c>
      <c r="U132" s="668" t="n">
        <f aca="false">U107-U120+U126</f>
        <v>7.01253800000001</v>
      </c>
      <c r="V132" s="754"/>
      <c r="W132" s="754"/>
      <c r="X132" s="754" t="n">
        <v>0</v>
      </c>
      <c r="Y132" s="745"/>
      <c r="Z132" s="754" t="n">
        <f aca="false">Z107-Z120+Z126</f>
        <v>7.01253800000001</v>
      </c>
      <c r="AA132" s="754" t="n">
        <f aca="false">AA107-AA120+AA126</f>
        <v>7.01253800000001</v>
      </c>
      <c r="AB132" s="324"/>
      <c r="AP132" s="324"/>
      <c r="AQ132" s="324"/>
      <c r="AR132" s="668" t="n">
        <f aca="false">T132+I132+AQ132+AF132</f>
        <v>-25.997875</v>
      </c>
      <c r="AS132" s="668" t="n">
        <f aca="false">U132+J132+AG132</f>
        <v>-18.327809</v>
      </c>
      <c r="AT132" s="660" t="n">
        <f aca="false">X132+M132+AJ132</f>
        <v>-25.739205266119</v>
      </c>
      <c r="AU132" s="666" t="n">
        <f aca="false">O132+Z132+AL132</f>
        <v>-18.23577552</v>
      </c>
      <c r="AV132" s="666" t="n">
        <f aca="false">P132+AA132+AM132</f>
        <v>-18.1466155096</v>
      </c>
    </row>
    <row r="133" customFormat="false" ht="12.75" hidden="false" customHeight="false" outlineLevel="0" collapsed="false">
      <c r="A133" s="28"/>
      <c r="F133" s="324"/>
      <c r="G133" s="449" t="n">
        <f aca="false">SUM(G130:G132)</f>
        <v>324.410233</v>
      </c>
      <c r="H133" s="449" t="n">
        <f aca="false">SUM(H130:H132)</f>
        <v>317.277076</v>
      </c>
      <c r="I133" s="449" t="n">
        <f aca="false">SUM(I130:I132)</f>
        <v>329.814949</v>
      </c>
      <c r="J133" s="449" t="n">
        <f aca="false">SUM(J130:J132)</f>
        <v>298.878546</v>
      </c>
      <c r="K133" s="449"/>
      <c r="L133" s="449"/>
      <c r="M133" s="449" t="n">
        <f aca="false">SUM(M130:M132)</f>
        <v>477.140546</v>
      </c>
      <c r="N133" s="721"/>
      <c r="O133" s="449" t="n">
        <f aca="false">SUM(O130:O132)</f>
        <v>410.210692069366</v>
      </c>
      <c r="P133" s="449" t="n">
        <f aca="false">SUM(P130:P132)</f>
        <v>470.088860618355</v>
      </c>
      <c r="Q133" s="324"/>
      <c r="R133" s="739" t="n">
        <f aca="false">SUM(R130:R132)</f>
        <v>229.916458</v>
      </c>
      <c r="S133" s="739" t="n">
        <f aca="false">SUM(S130:S132)</f>
        <v>202.771497</v>
      </c>
      <c r="T133" s="739" t="n">
        <f aca="false">SUM(T130:T132)</f>
        <v>209.860253</v>
      </c>
      <c r="U133" s="739" t="n">
        <f aca="false">SUM(U130:U132)</f>
        <v>75.004823</v>
      </c>
      <c r="V133" s="739"/>
      <c r="W133" s="739"/>
      <c r="X133" s="739" t="n">
        <f aca="false">SUM(X130:X132)</f>
        <v>62.6378161167959</v>
      </c>
      <c r="Y133" s="745"/>
      <c r="Z133" s="739" t="n">
        <f aca="false">SUM(Z130:Z132)</f>
        <v>160.893297063931</v>
      </c>
      <c r="AA133" s="739" t="n">
        <f aca="false">SUM(AA130:AA132)</f>
        <v>231.177375893612</v>
      </c>
      <c r="AB133" s="324"/>
      <c r="AP133" s="324"/>
      <c r="AQ133" s="324"/>
      <c r="AR133" s="451" t="n">
        <f aca="false">AR108-AR121+AR127</f>
        <v>539.675202</v>
      </c>
      <c r="AS133" s="451" t="n">
        <f aca="false">AS108-AS121+AS127</f>
        <v>373.883369000001</v>
      </c>
      <c r="AT133" s="451" t="n">
        <f aca="false">AT108-AT121+AT127</f>
        <v>561.506369000001</v>
      </c>
      <c r="AU133" s="451" t="n">
        <f aca="false">AU108-AU121+AU127</f>
        <v>571.103989133297</v>
      </c>
      <c r="AV133" s="451" t="n">
        <f aca="false">AV108-AV121+AV127</f>
        <v>701.266236511967</v>
      </c>
    </row>
    <row r="134" customFormat="false" ht="12.75" hidden="false" customHeight="false" outlineLevel="0" collapsed="false">
      <c r="A134" s="28"/>
      <c r="F134" s="324"/>
      <c r="G134" s="733"/>
      <c r="H134" s="670"/>
      <c r="I134" s="670"/>
      <c r="J134" s="670"/>
      <c r="K134" s="670"/>
      <c r="L134" s="670"/>
      <c r="M134" s="449"/>
      <c r="N134" s="721"/>
      <c r="O134" s="449"/>
      <c r="P134" s="449"/>
      <c r="Q134" s="324"/>
      <c r="R134" s="733"/>
      <c r="S134" s="738"/>
      <c r="T134" s="738"/>
      <c r="U134" s="738"/>
      <c r="V134" s="738"/>
      <c r="W134" s="738"/>
      <c r="X134" s="738"/>
      <c r="Y134" s="745"/>
      <c r="Z134" s="739"/>
      <c r="AA134" s="739"/>
      <c r="AB134" s="324"/>
      <c r="AP134" s="324"/>
      <c r="AQ134" s="324"/>
      <c r="AR134" s="670"/>
      <c r="AS134" s="670"/>
      <c r="AT134" s="451"/>
      <c r="AU134" s="324"/>
      <c r="AV134" s="324"/>
    </row>
    <row r="135" customFormat="false" ht="12.75" hidden="false" customHeight="false" outlineLevel="0" collapsed="false">
      <c r="A135" s="28" t="s">
        <v>817</v>
      </c>
      <c r="F135" s="324"/>
      <c r="G135" s="324"/>
      <c r="H135" s="733"/>
      <c r="I135" s="733"/>
      <c r="J135" s="733"/>
      <c r="K135" s="733"/>
      <c r="L135" s="733"/>
      <c r="M135" s="733"/>
      <c r="N135" s="755"/>
      <c r="O135" s="733"/>
      <c r="P135" s="324"/>
      <c r="Q135" s="324"/>
      <c r="R135" s="733"/>
      <c r="S135" s="733"/>
      <c r="T135" s="733"/>
      <c r="U135" s="733"/>
      <c r="V135" s="733"/>
      <c r="W135" s="733"/>
      <c r="X135" s="733"/>
      <c r="Y135" s="734"/>
      <c r="Z135" s="738"/>
      <c r="AA135" s="738"/>
      <c r="AB135" s="324"/>
      <c r="AP135" s="324"/>
      <c r="AQ135" s="324"/>
      <c r="AR135" s="451"/>
      <c r="AS135" s="451"/>
      <c r="AT135" s="324"/>
      <c r="AU135" s="324"/>
      <c r="AV135" s="324"/>
    </row>
    <row r="136" customFormat="false" ht="12.75" hidden="false" customHeight="false" outlineLevel="0" collapsed="false">
      <c r="A136" s="0" t="s">
        <v>612</v>
      </c>
      <c r="F136" s="324"/>
      <c r="G136" s="738" t="n">
        <v>120.171175</v>
      </c>
      <c r="H136" s="658" t="n">
        <v>125.016801</v>
      </c>
      <c r="I136" s="658" t="n">
        <v>145.971484</v>
      </c>
      <c r="J136" s="658" t="n">
        <v>119.883016</v>
      </c>
      <c r="K136" s="658"/>
      <c r="L136" s="658"/>
      <c r="M136" s="723" t="n">
        <f aca="false">J136/J$139*M$139</f>
        <v>146.389156256168</v>
      </c>
      <c r="N136" s="756" t="n">
        <f aca="false">J136/J130</f>
        <v>0.437175256277602</v>
      </c>
      <c r="O136" s="451" t="n">
        <f aca="false">O130*N136</f>
        <v>164.349618765881</v>
      </c>
      <c r="P136" s="451" t="n">
        <f aca="false">P130*N136</f>
        <v>186.26527233122</v>
      </c>
      <c r="Q136" s="324"/>
      <c r="R136" s="658" t="n">
        <v>84.102</v>
      </c>
      <c r="S136" s="658" t="n">
        <v>77.191</v>
      </c>
      <c r="T136" s="658" t="n">
        <v>77.38</v>
      </c>
      <c r="U136" s="658" t="n">
        <v>23.147</v>
      </c>
      <c r="V136" s="658"/>
      <c r="W136" s="658"/>
      <c r="X136" s="451" t="n">
        <f aca="false">U136+17.144-14.968</f>
        <v>25.323</v>
      </c>
      <c r="Y136" s="688" t="n">
        <f aca="false">U136/U130</f>
        <v>0.340435683254358</v>
      </c>
      <c r="Z136" s="451" t="n">
        <f aca="false">Z130*Y136</f>
        <v>52.3865013516284</v>
      </c>
      <c r="AA136" s="451" t="n">
        <f aca="false">AA130*Y136</f>
        <v>76.313709749914</v>
      </c>
      <c r="AB136" s="324"/>
      <c r="AP136" s="324"/>
      <c r="AQ136" s="324"/>
      <c r="AR136" s="451" t="n">
        <f aca="false">T136+I136+AQ136+AF136</f>
        <v>223.351484</v>
      </c>
      <c r="AS136" s="451" t="n">
        <f aca="false">U136+J136+AG136</f>
        <v>143.030016</v>
      </c>
      <c r="AT136" s="324" t="n">
        <f aca="false">X136+M136+AJ136</f>
        <v>171.712156256168</v>
      </c>
      <c r="AU136" s="665" t="n">
        <f aca="false">O136+Z136+AL136</f>
        <v>216.736120117509</v>
      </c>
      <c r="AV136" s="665" t="n">
        <f aca="false">P136+AA136+AM136</f>
        <v>262.578982081134</v>
      </c>
    </row>
    <row r="137" customFormat="false" ht="12.75" hidden="false" customHeight="false" outlineLevel="0" collapsed="false">
      <c r="A137" s="0" t="s">
        <v>575</v>
      </c>
      <c r="F137" s="324"/>
      <c r="G137" s="738" t="n">
        <v>7.957112</v>
      </c>
      <c r="H137" s="658" t="n">
        <v>9.674811</v>
      </c>
      <c r="I137" s="658" t="n">
        <v>15.924779</v>
      </c>
      <c r="J137" s="658" t="n">
        <v>13.562354</v>
      </c>
      <c r="K137" s="658"/>
      <c r="L137" s="658"/>
      <c r="M137" s="537" t="n">
        <f aca="false">J137/J$139*M$139</f>
        <v>16.5609910824021</v>
      </c>
      <c r="N137" s="756" t="n">
        <f aca="false">J137/J131</f>
        <v>0.27126322736192</v>
      </c>
      <c r="O137" s="451" t="n">
        <f aca="false">O131*N137</f>
        <v>16.1465877393184</v>
      </c>
      <c r="P137" s="451" t="n">
        <f aca="false">P131*N137</f>
        <v>18.7666855999127</v>
      </c>
      <c r="Q137" s="324"/>
      <c r="R137" s="658" t="n">
        <v>0</v>
      </c>
      <c r="S137" s="747" t="n">
        <f aca="false">D137</f>
        <v>0</v>
      </c>
      <c r="T137" s="747" t="n">
        <f aca="false">E137</f>
        <v>0</v>
      </c>
      <c r="U137" s="747" t="n">
        <f aca="false">F137</f>
        <v>0</v>
      </c>
      <c r="V137" s="747"/>
      <c r="W137" s="747"/>
      <c r="X137" s="747"/>
      <c r="Y137" s="748" t="n">
        <v>0</v>
      </c>
      <c r="Z137" s="747" t="n">
        <f aca="false">Z131*Y137</f>
        <v>0</v>
      </c>
      <c r="AA137" s="747" t="n">
        <f aca="false">AA131*Y137</f>
        <v>0</v>
      </c>
      <c r="AB137" s="324"/>
      <c r="AP137" s="324"/>
      <c r="AQ137" s="324"/>
      <c r="AR137" s="451" t="n">
        <f aca="false">T137+I137+AQ137+AF137</f>
        <v>15.924779</v>
      </c>
      <c r="AS137" s="451" t="n">
        <f aca="false">U137+J137+AG137</f>
        <v>13.562354</v>
      </c>
      <c r="AT137" s="324" t="n">
        <f aca="false">X137+M137+AJ137</f>
        <v>16.5609910824021</v>
      </c>
      <c r="AU137" s="665" t="n">
        <f aca="false">O137+Z137+AL137</f>
        <v>16.1465877393184</v>
      </c>
      <c r="AV137" s="665" t="n">
        <f aca="false">P137+AA137+AM137</f>
        <v>18.7666855999127</v>
      </c>
    </row>
    <row r="138" customFormat="false" ht="15" hidden="false" customHeight="false" outlineLevel="0" collapsed="false">
      <c r="A138" s="667" t="s">
        <v>779</v>
      </c>
      <c r="F138" s="324"/>
      <c r="G138" s="753" t="n">
        <f aca="false">G139-G136-G137</f>
        <v>3.670713</v>
      </c>
      <c r="H138" s="660" t="n">
        <f aca="false">H139-H136-H137</f>
        <v>1.24438800000002</v>
      </c>
      <c r="I138" s="660" t="n">
        <f aca="false">I139-I136-I137</f>
        <v>-23.135263</v>
      </c>
      <c r="J138" s="660" t="n">
        <f aca="false">J139-J136-J137</f>
        <v>-5.12337000000001</v>
      </c>
      <c r="K138" s="726" t="n">
        <v>0</v>
      </c>
      <c r="L138" s="726" t="n">
        <v>0</v>
      </c>
      <c r="M138" s="730" t="n">
        <f aca="false">J138/J$139*M$139</f>
        <v>-6.25614733857017</v>
      </c>
      <c r="N138" s="756" t="n">
        <f aca="false">J138/J132</f>
        <v>0.202182314235871</v>
      </c>
      <c r="O138" s="660" t="n">
        <f aca="false">O132*N138</f>
        <v>-5.10476245802643</v>
      </c>
      <c r="P138" s="660" t="n">
        <f aca="false">P132*N138</f>
        <v>-5.08673588078646</v>
      </c>
      <c r="Q138" s="324"/>
      <c r="R138" s="726" t="n">
        <f aca="false">R139-R136-R137</f>
        <v>0</v>
      </c>
      <c r="S138" s="741" t="n">
        <f aca="false">S139-S136-S137</f>
        <v>0</v>
      </c>
      <c r="T138" s="741" t="n">
        <f aca="false">T139-T136-T137</f>
        <v>0</v>
      </c>
      <c r="U138" s="741" t="n">
        <f aca="false">U139-U136-U137</f>
        <v>0</v>
      </c>
      <c r="V138" s="751" t="n">
        <v>0</v>
      </c>
      <c r="W138" s="751" t="n">
        <v>0</v>
      </c>
      <c r="X138" s="751" t="n">
        <f aca="false">G139</f>
        <v>131.799</v>
      </c>
      <c r="Y138" s="752" t="n">
        <f aca="false">U138/U132</f>
        <v>0</v>
      </c>
      <c r="Z138" s="751" t="n">
        <f aca="false">Z132*Y138</f>
        <v>0</v>
      </c>
      <c r="AA138" s="751" t="n">
        <f aca="false">AA132*Y138</f>
        <v>0</v>
      </c>
      <c r="AB138" s="324"/>
      <c r="AP138" s="324"/>
      <c r="AQ138" s="324"/>
      <c r="AR138" s="660" t="n">
        <f aca="false">T138+I138+AQ138+AF138</f>
        <v>-23.135263</v>
      </c>
      <c r="AS138" s="660" t="n">
        <f aca="false">U138+J138+AG138</f>
        <v>-5.12337000000001</v>
      </c>
      <c r="AT138" s="660" t="n">
        <f aca="false">X138+M138+AJ138</f>
        <v>125.54285266143</v>
      </c>
      <c r="AU138" s="666" t="n">
        <f aca="false">O138+Z138+AL138</f>
        <v>-5.10476245802643</v>
      </c>
      <c r="AV138" s="666" t="n">
        <f aca="false">P138+AA138+AM138</f>
        <v>-5.08673588078646</v>
      </c>
    </row>
    <row r="139" customFormat="false" ht="12.75" hidden="false" customHeight="false" outlineLevel="0" collapsed="false">
      <c r="A139" s="667"/>
      <c r="F139" s="324"/>
      <c r="G139" s="738" t="n">
        <v>131.799</v>
      </c>
      <c r="H139" s="658" t="n">
        <v>135.936</v>
      </c>
      <c r="I139" s="658" t="n">
        <v>138.761</v>
      </c>
      <c r="J139" s="658" t="n">
        <v>128.322</v>
      </c>
      <c r="K139" s="757" t="n">
        <v>74.119</v>
      </c>
      <c r="L139" s="757" t="n">
        <v>45.747</v>
      </c>
      <c r="M139" s="451" t="n">
        <f aca="false">J139+K139-L139</f>
        <v>156.694</v>
      </c>
      <c r="N139" s="700"/>
      <c r="O139" s="451" t="n">
        <f aca="false">(O108-O121+O127)*0.38</f>
        <v>155.880062986359</v>
      </c>
      <c r="P139" s="324" t="n">
        <f aca="false">(P108-P121+P127)*0.38</f>
        <v>178.633767034975</v>
      </c>
      <c r="Q139" s="324"/>
      <c r="R139" s="658" t="n">
        <v>84.102</v>
      </c>
      <c r="S139" s="658" t="n">
        <v>77.191</v>
      </c>
      <c r="T139" s="658" t="n">
        <v>77.38</v>
      </c>
      <c r="U139" s="658" t="n">
        <v>23.147</v>
      </c>
      <c r="V139" s="658" t="n">
        <v>40.183</v>
      </c>
      <c r="W139" s="658" t="n">
        <v>5.043</v>
      </c>
      <c r="X139" s="451" t="n">
        <f aca="false">SUM(X136:X138)</f>
        <v>157.122</v>
      </c>
      <c r="Y139" s="688"/>
      <c r="Z139" s="451" t="n">
        <f aca="false">(Z108-Z121+Z127)*0.38</f>
        <v>61.1394528842936</v>
      </c>
      <c r="AA139" s="451" t="n">
        <f aca="false">(AA108-AA121+AA127)*0.38</f>
        <v>87.8474028395724</v>
      </c>
      <c r="AB139" s="324"/>
      <c r="AP139" s="324"/>
      <c r="AQ139" s="324"/>
      <c r="AR139" s="451" t="n">
        <f aca="false">SUM(AR136:AR138)</f>
        <v>216.141</v>
      </c>
      <c r="AS139" s="451" t="n">
        <f aca="false">SUM(AS136:AS138)</f>
        <v>151.469</v>
      </c>
      <c r="AT139" s="451" t="n">
        <f aca="false">SUM(AT136:AT138)</f>
        <v>313.816</v>
      </c>
      <c r="AU139" s="451" t="n">
        <f aca="false">SUM(AU136:AU138)</f>
        <v>227.777945398801</v>
      </c>
      <c r="AV139" s="451" t="n">
        <f aca="false">SUM(AV136:AV138)</f>
        <v>276.25893180026</v>
      </c>
    </row>
    <row r="140" customFormat="false" ht="15" hidden="false" customHeight="false" outlineLevel="0" collapsed="false">
      <c r="A140" s="667"/>
      <c r="F140" s="324"/>
      <c r="G140" s="726"/>
      <c r="H140" s="726"/>
      <c r="I140" s="726"/>
      <c r="J140" s="726"/>
      <c r="K140" s="726"/>
      <c r="L140" s="726"/>
      <c r="M140" s="733"/>
      <c r="N140" s="721"/>
      <c r="O140" s="758"/>
      <c r="P140" s="324"/>
      <c r="Q140" s="324"/>
      <c r="R140" s="726"/>
      <c r="S140" s="726"/>
      <c r="T140" s="726"/>
      <c r="U140" s="726"/>
      <c r="V140" s="726"/>
      <c r="W140" s="726"/>
      <c r="X140" s="733"/>
      <c r="Y140" s="734"/>
      <c r="Z140" s="733"/>
      <c r="AA140" s="733"/>
      <c r="AB140" s="324"/>
      <c r="AP140" s="324"/>
      <c r="AQ140" s="324"/>
      <c r="AR140" s="451"/>
      <c r="AS140" s="451"/>
      <c r="AT140" s="324"/>
      <c r="AU140" s="324"/>
      <c r="AV140" s="324"/>
    </row>
    <row r="141" customFormat="false" ht="12.75" hidden="false" customHeight="false" outlineLevel="0" collapsed="false">
      <c r="A141" s="28" t="s">
        <v>818</v>
      </c>
      <c r="F141" s="324"/>
      <c r="G141" s="324"/>
      <c r="H141" s="324"/>
      <c r="I141" s="324"/>
      <c r="J141" s="324"/>
      <c r="K141" s="324"/>
      <c r="L141" s="324"/>
      <c r="M141" s="451"/>
      <c r="N141" s="698"/>
      <c r="O141" s="451"/>
      <c r="P141" s="451"/>
      <c r="Q141" s="324"/>
      <c r="R141" s="324"/>
      <c r="S141" s="324"/>
      <c r="T141" s="324"/>
      <c r="U141" s="324"/>
      <c r="V141" s="324"/>
      <c r="W141" s="324"/>
      <c r="X141" s="451"/>
      <c r="Y141" s="688"/>
      <c r="Z141" s="451"/>
      <c r="AA141" s="451"/>
      <c r="AB141" s="324"/>
      <c r="AP141" s="324"/>
      <c r="AQ141" s="324"/>
      <c r="AR141" s="451"/>
      <c r="AS141" s="359"/>
      <c r="AT141" s="324"/>
      <c r="AU141" s="324"/>
      <c r="AV141" s="324"/>
    </row>
    <row r="142" customFormat="false" ht="12.75" hidden="false" customHeight="false" outlineLevel="0" collapsed="false">
      <c r="A142" s="0" t="s">
        <v>612</v>
      </c>
      <c r="F142" s="324"/>
      <c r="G142" s="451" t="n">
        <f aca="false">G130-G136</f>
        <v>172.684203903147</v>
      </c>
      <c r="H142" s="451" t="n">
        <f aca="false">H130-H136</f>
        <v>178.5617534844</v>
      </c>
      <c r="I142" s="451" t="n">
        <f aca="false">I130-I136</f>
        <v>150.250622377454</v>
      </c>
      <c r="J142" s="451" t="n">
        <f aca="false">J130-J136</f>
        <v>154.338853327104</v>
      </c>
      <c r="K142" s="658"/>
      <c r="L142" s="658"/>
      <c r="M142" s="324" t="n">
        <f aca="false">M130-M136</f>
        <v>244.084115704588</v>
      </c>
      <c r="N142" s="698"/>
      <c r="O142" s="324" t="n">
        <f aca="false">O130-O136</f>
        <v>211.585698720433</v>
      </c>
      <c r="P142" s="324" t="n">
        <f aca="false">P130-P136</f>
        <v>239.800177752129</v>
      </c>
      <c r="Q142" s="324"/>
      <c r="R142" s="451" t="n">
        <f aca="false">R130-R136</f>
        <v>150.624628</v>
      </c>
      <c r="S142" s="451" t="n">
        <f aca="false">S130-S136</f>
        <v>128.597384</v>
      </c>
      <c r="T142" s="451" t="n">
        <f aca="false">T130-T136</f>
        <v>124.652045</v>
      </c>
      <c r="U142" s="451" t="n">
        <f aca="false">U130-U136</f>
        <v>44.845285</v>
      </c>
      <c r="V142" s="451"/>
      <c r="W142" s="451"/>
      <c r="X142" s="451" t="n">
        <f aca="false">X130-X136</f>
        <v>37.3148161167959</v>
      </c>
      <c r="Y142" s="688"/>
      <c r="Z142" s="451" t="n">
        <f aca="false">Z130-Z136</f>
        <v>101.494257712302</v>
      </c>
      <c r="AA142" s="451" t="n">
        <f aca="false">AA130-AA136</f>
        <v>147.851128143698</v>
      </c>
      <c r="AB142" s="324"/>
      <c r="AP142" s="324"/>
      <c r="AQ142" s="324"/>
      <c r="AR142" s="451" t="n">
        <f aca="false">AR130-AR136</f>
        <v>274.902667377454</v>
      </c>
      <c r="AS142" s="451" t="n">
        <f aca="false">AS130-AS136</f>
        <v>199.184138327104</v>
      </c>
      <c r="AT142" s="451" t="n">
        <f aca="false">AT130-AT136</f>
        <v>281.398931821384</v>
      </c>
      <c r="AU142" s="451" t="n">
        <f aca="false">AU130-AU136</f>
        <v>313.079956432735</v>
      </c>
      <c r="AV142" s="451" t="n">
        <f aca="false">AV130-AV136</f>
        <v>387.651305895826</v>
      </c>
    </row>
    <row r="143" customFormat="false" ht="12.75" hidden="false" customHeight="false" outlineLevel="0" collapsed="false">
      <c r="A143" s="0" t="s">
        <v>575</v>
      </c>
      <c r="F143" s="324"/>
      <c r="G143" s="451" t="n">
        <f aca="false">G131-G137</f>
        <v>34.1517450968524</v>
      </c>
      <c r="H143" s="451" t="n">
        <f aca="false">H131-H137</f>
        <v>44.6133275156</v>
      </c>
      <c r="I143" s="451" t="n">
        <f aca="false">I131-I137</f>
        <v>51.4941466225461</v>
      </c>
      <c r="J143" s="451" t="n">
        <f aca="false">J131-J137</f>
        <v>36.4346696728957</v>
      </c>
      <c r="K143" s="658"/>
      <c r="L143" s="658"/>
      <c r="M143" s="324" t="n">
        <f aca="false">M131-M137</f>
        <v>95.8454882229613</v>
      </c>
      <c r="N143" s="698"/>
      <c r="O143" s="324" t="n">
        <f aca="false">O131-O137</f>
        <v>43.3771003637343</v>
      </c>
      <c r="P143" s="324" t="n">
        <f aca="false">P131-P137</f>
        <v>50.4158784446939</v>
      </c>
      <c r="Q143" s="324"/>
      <c r="R143" s="658" t="n">
        <f aca="false">R131-R137</f>
        <v>0</v>
      </c>
      <c r="S143" s="451" t="n">
        <f aca="false">S131-S137</f>
        <v>0</v>
      </c>
      <c r="T143" s="451" t="n">
        <f aca="false">T131-T137</f>
        <v>0</v>
      </c>
      <c r="U143" s="451" t="n">
        <f aca="false">U131-U137</f>
        <v>0</v>
      </c>
      <c r="V143" s="451"/>
      <c r="W143" s="451"/>
      <c r="X143" s="451" t="n">
        <f aca="false">X131-X137</f>
        <v>0</v>
      </c>
      <c r="Y143" s="688"/>
      <c r="Z143" s="451" t="n">
        <f aca="false">Z131-Z137</f>
        <v>0</v>
      </c>
      <c r="AA143" s="451" t="n">
        <f aca="false">AA131-AA137</f>
        <v>0</v>
      </c>
      <c r="AB143" s="324"/>
      <c r="AP143" s="324"/>
      <c r="AQ143" s="324"/>
      <c r="AR143" s="451" t="n">
        <f aca="false">AR131-AR137</f>
        <v>51.4941466225461</v>
      </c>
      <c r="AS143" s="451" t="n">
        <f aca="false">AS131-AS137</f>
        <v>36.4346696728957</v>
      </c>
      <c r="AT143" s="451" t="n">
        <f aca="false">AT131-AT137</f>
        <v>95.8454882229613</v>
      </c>
      <c r="AU143" s="451" t="n">
        <f aca="false">AU131-AU137</f>
        <v>43.3771003637343</v>
      </c>
      <c r="AV143" s="451" t="n">
        <f aca="false">AV131-AV137</f>
        <v>50.4158784446939</v>
      </c>
    </row>
    <row r="144" customFormat="false" ht="15" hidden="false" customHeight="false" outlineLevel="0" collapsed="false">
      <c r="A144" s="667" t="s">
        <v>779</v>
      </c>
      <c r="F144" s="324"/>
      <c r="G144" s="660" t="n">
        <f aca="false">G132-G138</f>
        <v>-14.224716</v>
      </c>
      <c r="H144" s="660" t="n">
        <f aca="false">H132-H138</f>
        <v>-41.834005</v>
      </c>
      <c r="I144" s="660" t="n">
        <f aca="false">I132-I138</f>
        <v>-10.6908199999999</v>
      </c>
      <c r="J144" s="660" t="n">
        <f aca="false">J132-J138</f>
        <v>-20.216977</v>
      </c>
      <c r="K144" s="726"/>
      <c r="L144" s="726"/>
      <c r="M144" s="660" t="n">
        <f aca="false">M132-M138</f>
        <v>-19.4830579275489</v>
      </c>
      <c r="N144" s="759"/>
      <c r="O144" s="660" t="n">
        <f aca="false">O132-O138</f>
        <v>-20.1435510619736</v>
      </c>
      <c r="P144" s="324" t="n">
        <f aca="false">P132-P138</f>
        <v>-20.0724176288135</v>
      </c>
      <c r="Q144" s="324"/>
      <c r="R144" s="694" t="n">
        <f aca="false">R132-R138</f>
        <v>-4.81017</v>
      </c>
      <c r="S144" s="660" t="n">
        <f aca="false">S132-S138</f>
        <v>-3.01688700000001</v>
      </c>
      <c r="T144" s="660" t="n">
        <f aca="false">T132-T138</f>
        <v>7.82820799999999</v>
      </c>
      <c r="U144" s="660" t="n">
        <f aca="false">U132-U138</f>
        <v>7.01253800000001</v>
      </c>
      <c r="V144" s="660"/>
      <c r="W144" s="660"/>
      <c r="X144" s="660" t="n">
        <f aca="false">X132-X138</f>
        <v>-131.799</v>
      </c>
      <c r="Y144" s="695"/>
      <c r="Z144" s="660" t="n">
        <f aca="false">Z132-Z138</f>
        <v>7.01253800000001</v>
      </c>
      <c r="AA144" s="660" t="n">
        <f aca="false">AA132-AA138</f>
        <v>7.01253800000001</v>
      </c>
      <c r="AB144" s="324"/>
      <c r="AP144" s="324"/>
      <c r="AQ144" s="324"/>
      <c r="AR144" s="660" t="n">
        <f aca="false">AR132-AR138</f>
        <v>-2.86261199999994</v>
      </c>
      <c r="AS144" s="660" t="n">
        <f aca="false">AS132-AS138</f>
        <v>-13.204439</v>
      </c>
      <c r="AT144" s="660" t="n">
        <f aca="false">AT132-AT138</f>
        <v>-151.282057927549</v>
      </c>
      <c r="AU144" s="660" t="n">
        <f aca="false">AU132-AU138</f>
        <v>-13.1310130619736</v>
      </c>
      <c r="AV144" s="660" t="n">
        <f aca="false">AV132-AV138</f>
        <v>-13.0598796288135</v>
      </c>
    </row>
    <row r="145" customFormat="false" ht="12.75" hidden="false" customHeight="false" outlineLevel="0" collapsed="false">
      <c r="F145" s="324"/>
      <c r="G145" s="370" t="n">
        <f aca="false">SUM(G142:G144)</f>
        <v>192.611233</v>
      </c>
      <c r="H145" s="370" t="n">
        <f aca="false">SUM(H142:H144)</f>
        <v>181.341076</v>
      </c>
      <c r="I145" s="370" t="n">
        <f aca="false">SUM(I142:I144)</f>
        <v>191.053949</v>
      </c>
      <c r="J145" s="370" t="n">
        <f aca="false">SUM(J142:J144)</f>
        <v>170.556546</v>
      </c>
      <c r="K145" s="370"/>
      <c r="L145" s="370"/>
      <c r="M145" s="370" t="n">
        <f aca="false">SUM(M142:M144)</f>
        <v>320.446546</v>
      </c>
      <c r="N145" s="760"/>
      <c r="O145" s="370" t="n">
        <f aca="false">SUM(O142:O144)</f>
        <v>234.819248022193</v>
      </c>
      <c r="P145" s="324" t="n">
        <f aca="false">SUM(P142:P144)</f>
        <v>270.143638568009</v>
      </c>
      <c r="Q145" s="324"/>
      <c r="R145" s="708" t="n">
        <f aca="false">SUM(R142:R144)</f>
        <v>145.814458</v>
      </c>
      <c r="S145" s="671" t="n">
        <f aca="false">SUM(S142:S144)</f>
        <v>125.580497</v>
      </c>
      <c r="T145" s="671" t="n">
        <f aca="false">SUM(T142:T144)</f>
        <v>132.480253</v>
      </c>
      <c r="U145" s="671" t="n">
        <f aca="false">SUM(U142:U144)</f>
        <v>51.857823</v>
      </c>
      <c r="V145" s="671"/>
      <c r="W145" s="671"/>
      <c r="X145" s="671" t="n">
        <f aca="false">SUM(X142:X144)</f>
        <v>-94.4841838832041</v>
      </c>
      <c r="Y145" s="705"/>
      <c r="Z145" s="671" t="n">
        <f aca="false">SUM(Z142:Z144)</f>
        <v>108.506795712302</v>
      </c>
      <c r="AA145" s="671" t="n">
        <f aca="false">SUM(AA142:AA144)</f>
        <v>154.863666143698</v>
      </c>
      <c r="AB145" s="324"/>
      <c r="AP145" s="324"/>
      <c r="AQ145" s="324"/>
      <c r="AR145" s="671" t="n">
        <f aca="false">SUM(AR142:AR144)</f>
        <v>323.534202</v>
      </c>
      <c r="AS145" s="671" t="n">
        <f aca="false">SUM(AS142:AS144)</f>
        <v>222.414369</v>
      </c>
      <c r="AT145" s="671" t="n">
        <f aca="false">SUM(AT142:AT144)</f>
        <v>225.962362116796</v>
      </c>
      <c r="AU145" s="671" t="n">
        <f aca="false">SUM(AU142:AU144)</f>
        <v>343.326043734496</v>
      </c>
      <c r="AV145" s="671" t="n">
        <f aca="false">SUM(AV142:AV144)</f>
        <v>425.007304711707</v>
      </c>
    </row>
    <row r="146" customFormat="false" ht="12.75" hidden="false" customHeight="false" outlineLevel="0" collapsed="false">
      <c r="F146" s="324"/>
      <c r="G146" s="708"/>
      <c r="H146" s="708"/>
      <c r="I146" s="708"/>
      <c r="J146" s="708"/>
      <c r="K146" s="708"/>
      <c r="L146" s="708"/>
      <c r="M146" s="671"/>
      <c r="N146" s="760"/>
      <c r="O146" s="671"/>
      <c r="P146" s="324"/>
      <c r="Q146" s="324"/>
      <c r="R146" s="671"/>
      <c r="S146" s="671"/>
      <c r="T146" s="671"/>
      <c r="U146" s="671"/>
      <c r="V146" s="671"/>
      <c r="W146" s="671"/>
      <c r="X146" s="671"/>
      <c r="Y146" s="705"/>
      <c r="Z146" s="671"/>
      <c r="AA146" s="671"/>
      <c r="AB146" s="324"/>
      <c r="AP146" s="324"/>
      <c r="AQ146" s="324"/>
      <c r="AR146" s="658"/>
      <c r="AS146" s="670"/>
      <c r="AT146" s="451"/>
      <c r="AU146" s="658"/>
      <c r="AV146" s="658"/>
    </row>
    <row r="147" customFormat="false" ht="12.75" hidden="false" customHeight="false" outlineLevel="0" collapsed="false">
      <c r="F147" s="324"/>
      <c r="G147" s="658"/>
      <c r="H147" s="658"/>
      <c r="I147" s="658"/>
      <c r="J147" s="658"/>
      <c r="K147" s="658"/>
      <c r="L147" s="658"/>
      <c r="M147" s="451"/>
      <c r="N147" s="698"/>
      <c r="O147" s="451"/>
      <c r="P147" s="324"/>
      <c r="Q147" s="324"/>
      <c r="R147" s="658"/>
      <c r="S147" s="658"/>
      <c r="T147" s="658"/>
      <c r="U147" s="658"/>
      <c r="V147" s="658"/>
      <c r="W147" s="658"/>
      <c r="X147" s="451"/>
      <c r="Y147" s="688"/>
      <c r="Z147" s="451"/>
      <c r="AA147" s="451"/>
      <c r="AB147" s="324"/>
      <c r="AP147" s="324"/>
      <c r="AQ147" s="324"/>
      <c r="AR147" s="451"/>
      <c r="AS147" s="359"/>
      <c r="AT147" s="324"/>
      <c r="AU147" s="324"/>
      <c r="AV147" s="324"/>
    </row>
    <row r="148" customFormat="false" ht="12.75" hidden="false" customHeight="false" outlineLevel="0" collapsed="false">
      <c r="A148" s="28" t="s">
        <v>819</v>
      </c>
      <c r="F148" s="324"/>
      <c r="G148" s="658"/>
      <c r="H148" s="658"/>
      <c r="I148" s="658"/>
      <c r="J148" s="658"/>
      <c r="K148" s="658"/>
      <c r="L148" s="658"/>
      <c r="M148" s="451"/>
      <c r="N148" s="698"/>
      <c r="O148" s="451"/>
      <c r="P148" s="324"/>
      <c r="Q148" s="324"/>
      <c r="R148" s="658"/>
      <c r="S148" s="658"/>
      <c r="T148" s="658"/>
      <c r="U148" s="658"/>
      <c r="V148" s="658"/>
      <c r="W148" s="658"/>
      <c r="X148" s="451"/>
      <c r="Y148" s="688"/>
      <c r="Z148" s="451"/>
      <c r="AA148" s="451"/>
      <c r="AB148" s="324"/>
      <c r="AP148" s="324"/>
      <c r="AQ148" s="324"/>
      <c r="AR148" s="451"/>
      <c r="AS148" s="359"/>
      <c r="AT148" s="324"/>
      <c r="AU148" s="324"/>
      <c r="AV148" s="324"/>
    </row>
    <row r="149" customFormat="false" ht="12.75" hidden="false" customHeight="false" outlineLevel="0" collapsed="false">
      <c r="A149" s="27" t="s">
        <v>820</v>
      </c>
      <c r="F149" s="324"/>
      <c r="G149" s="658" t="n">
        <v>0</v>
      </c>
      <c r="H149" s="658" t="n">
        <v>0</v>
      </c>
      <c r="I149" s="658" t="n">
        <v>0</v>
      </c>
      <c r="J149" s="658" t="n">
        <v>0</v>
      </c>
      <c r="K149" s="658"/>
      <c r="L149" s="658"/>
      <c r="M149" s="658" t="n">
        <v>0</v>
      </c>
      <c r="N149" s="698"/>
      <c r="O149" s="658" t="n">
        <v>0</v>
      </c>
      <c r="P149" s="658" t="n">
        <v>0</v>
      </c>
      <c r="Q149" s="324"/>
      <c r="R149" s="658" t="n">
        <v>0</v>
      </c>
      <c r="S149" s="658" t="n">
        <v>0</v>
      </c>
      <c r="T149" s="658" t="n">
        <v>0</v>
      </c>
      <c r="U149" s="658" t="n">
        <v>0</v>
      </c>
      <c r="V149" s="658"/>
      <c r="W149" s="658"/>
      <c r="X149" s="658" t="n">
        <v>0</v>
      </c>
      <c r="Y149" s="688"/>
      <c r="Z149" s="658" t="n">
        <v>0</v>
      </c>
      <c r="AA149" s="658" t="n">
        <v>0</v>
      </c>
      <c r="AB149" s="324"/>
      <c r="AP149" s="324"/>
      <c r="AQ149" s="324"/>
      <c r="AR149" s="658" t="n">
        <v>0</v>
      </c>
      <c r="AS149" s="658" t="n">
        <v>0</v>
      </c>
      <c r="AT149" s="324" t="n">
        <f aca="false">M149+X149</f>
        <v>0</v>
      </c>
      <c r="AU149" s="665" t="n">
        <f aca="false">O149+Z149</f>
        <v>0</v>
      </c>
      <c r="AV149" s="665" t="n">
        <f aca="false">P149+AA149</f>
        <v>0</v>
      </c>
    </row>
    <row r="150" customFormat="false" ht="12.75" hidden="false" customHeight="false" outlineLevel="0" collapsed="false">
      <c r="A150" s="27" t="s">
        <v>821</v>
      </c>
      <c r="F150" s="324"/>
      <c r="G150" s="658" t="n">
        <v>0</v>
      </c>
      <c r="H150" s="658" t="n">
        <v>0</v>
      </c>
      <c r="I150" s="658" t="n">
        <v>0</v>
      </c>
      <c r="J150" s="658" t="n">
        <v>0</v>
      </c>
      <c r="K150" s="658"/>
      <c r="L150" s="658"/>
      <c r="M150" s="658" t="n">
        <v>0</v>
      </c>
      <c r="N150" s="698"/>
      <c r="O150" s="658" t="n">
        <v>0</v>
      </c>
      <c r="P150" s="658" t="n">
        <v>0</v>
      </c>
      <c r="Q150" s="324"/>
      <c r="R150" s="658" t="n">
        <v>0</v>
      </c>
      <c r="S150" s="658" t="n">
        <v>0</v>
      </c>
      <c r="T150" s="658" t="n">
        <v>0</v>
      </c>
      <c r="U150" s="658" t="n">
        <v>0</v>
      </c>
      <c r="V150" s="658"/>
      <c r="W150" s="658"/>
      <c r="X150" s="451" t="n">
        <f aca="false">U150</f>
        <v>0</v>
      </c>
      <c r="Y150" s="688"/>
      <c r="Z150" s="658" t="n">
        <v>0</v>
      </c>
      <c r="AA150" s="658" t="n">
        <v>0</v>
      </c>
      <c r="AB150" s="324"/>
      <c r="AP150" s="324"/>
      <c r="AQ150" s="324"/>
      <c r="AR150" s="658" t="n">
        <v>0</v>
      </c>
      <c r="AS150" s="451" t="n">
        <f aca="false">U150+J150</f>
        <v>0</v>
      </c>
      <c r="AT150" s="324" t="n">
        <f aca="false">M150+X150</f>
        <v>0</v>
      </c>
      <c r="AU150" s="665" t="n">
        <f aca="false">O150+Z150</f>
        <v>0</v>
      </c>
      <c r="AV150" s="665" t="n">
        <f aca="false">P150+AA150</f>
        <v>0</v>
      </c>
    </row>
    <row r="151" customFormat="false" ht="12.75" hidden="false" customHeight="false" outlineLevel="0" collapsed="false">
      <c r="A151" s="27" t="s">
        <v>822</v>
      </c>
      <c r="F151" s="324"/>
      <c r="G151" s="658" t="n">
        <v>0</v>
      </c>
      <c r="H151" s="658" t="n">
        <v>0</v>
      </c>
      <c r="I151" s="658" t="n">
        <v>0</v>
      </c>
      <c r="J151" s="658" t="n">
        <v>0</v>
      </c>
      <c r="K151" s="658"/>
      <c r="L151" s="658"/>
      <c r="M151" s="658" t="n">
        <v>0</v>
      </c>
      <c r="N151" s="698"/>
      <c r="O151" s="658" t="n">
        <v>0</v>
      </c>
      <c r="P151" s="658" t="n">
        <v>0</v>
      </c>
      <c r="Q151" s="324"/>
      <c r="R151" s="658" t="n">
        <v>0</v>
      </c>
      <c r="S151" s="658" t="n">
        <v>0</v>
      </c>
      <c r="T151" s="658" t="n">
        <v>0</v>
      </c>
      <c r="U151" s="658" t="n">
        <v>0</v>
      </c>
      <c r="V151" s="658"/>
      <c r="W151" s="658"/>
      <c r="X151" s="658" t="n">
        <v>0</v>
      </c>
      <c r="Y151" s="688"/>
      <c r="Z151" s="658" t="n">
        <v>0</v>
      </c>
      <c r="AA151" s="658" t="n">
        <v>0</v>
      </c>
      <c r="AB151" s="324"/>
      <c r="AP151" s="324"/>
      <c r="AQ151" s="324"/>
      <c r="AR151" s="658"/>
      <c r="AS151" s="658"/>
      <c r="AT151" s="658"/>
      <c r="AU151" s="665" t="n">
        <f aca="false">O151+Z151</f>
        <v>0</v>
      </c>
      <c r="AV151" s="665" t="n">
        <f aca="false">P151+AA151</f>
        <v>0</v>
      </c>
    </row>
    <row r="152" customFormat="false" ht="12.75" hidden="false" customHeight="false" outlineLevel="0" collapsed="false">
      <c r="A152" s="27" t="s">
        <v>823</v>
      </c>
      <c r="F152" s="324"/>
      <c r="G152" s="658" t="n">
        <v>0</v>
      </c>
      <c r="H152" s="658" t="n">
        <v>0</v>
      </c>
      <c r="I152" s="658" t="n">
        <v>0</v>
      </c>
      <c r="J152" s="658" t="n">
        <v>0</v>
      </c>
      <c r="K152" s="658"/>
      <c r="L152" s="658"/>
      <c r="M152" s="658" t="n">
        <v>0</v>
      </c>
      <c r="N152" s="698"/>
      <c r="O152" s="658" t="n">
        <v>0</v>
      </c>
      <c r="P152" s="658" t="n">
        <v>0</v>
      </c>
      <c r="Q152" s="324"/>
      <c r="R152" s="658" t="n">
        <v>0</v>
      </c>
      <c r="S152" s="658" t="n">
        <v>0</v>
      </c>
      <c r="T152" s="658" t="n">
        <v>0</v>
      </c>
      <c r="U152" s="658" t="n">
        <v>0</v>
      </c>
      <c r="V152" s="658"/>
      <c r="W152" s="658"/>
      <c r="X152" s="658" t="n">
        <v>0</v>
      </c>
      <c r="Y152" s="688"/>
      <c r="Z152" s="658" t="n">
        <v>0</v>
      </c>
      <c r="AA152" s="658" t="n">
        <v>0</v>
      </c>
      <c r="AB152" s="324"/>
      <c r="AP152" s="324"/>
      <c r="AQ152" s="324"/>
      <c r="AR152" s="658" t="n">
        <v>0</v>
      </c>
      <c r="AS152" s="658"/>
      <c r="AT152" s="658"/>
      <c r="AU152" s="665" t="n">
        <f aca="false">O152+Z152</f>
        <v>0</v>
      </c>
      <c r="AV152" s="665" t="n">
        <f aca="false">P152+AA152</f>
        <v>0</v>
      </c>
    </row>
    <row r="153" customFormat="false" ht="15" hidden="false" customHeight="false" outlineLevel="0" collapsed="false">
      <c r="A153" s="27" t="s">
        <v>824</v>
      </c>
      <c r="F153" s="324"/>
      <c r="G153" s="726" t="n">
        <v>0</v>
      </c>
      <c r="H153" s="726" t="n">
        <v>0</v>
      </c>
      <c r="I153" s="726" t="n">
        <v>0</v>
      </c>
      <c r="J153" s="726" t="n">
        <v>0</v>
      </c>
      <c r="K153" s="726"/>
      <c r="L153" s="726"/>
      <c r="M153" s="726" t="n">
        <v>0</v>
      </c>
      <c r="N153" s="759"/>
      <c r="O153" s="726" t="n">
        <v>0</v>
      </c>
      <c r="P153" s="726" t="n">
        <v>0</v>
      </c>
      <c r="Q153" s="324"/>
      <c r="R153" s="726" t="n">
        <v>0</v>
      </c>
      <c r="S153" s="726" t="n">
        <v>0</v>
      </c>
      <c r="T153" s="726" t="n">
        <v>0</v>
      </c>
      <c r="U153" s="726" t="n">
        <v>0</v>
      </c>
      <c r="V153" s="726"/>
      <c r="W153" s="726"/>
      <c r="X153" s="726" t="n">
        <v>0</v>
      </c>
      <c r="Y153" s="725"/>
      <c r="Z153" s="726" t="n">
        <v>0</v>
      </c>
      <c r="AA153" s="726" t="n">
        <v>0</v>
      </c>
      <c r="AB153" s="324"/>
      <c r="AP153" s="324"/>
      <c r="AQ153" s="324"/>
      <c r="AR153" s="726" t="n">
        <v>0</v>
      </c>
      <c r="AS153" s="726" t="n">
        <v>0</v>
      </c>
      <c r="AT153" s="726" t="n">
        <v>0</v>
      </c>
      <c r="AU153" s="666" t="n">
        <f aca="false">O153+Z153</f>
        <v>0</v>
      </c>
      <c r="AV153" s="666" t="n">
        <f aca="false">P153+AA153</f>
        <v>0</v>
      </c>
    </row>
    <row r="154" customFormat="false" ht="15" hidden="false" customHeight="false" outlineLevel="0" collapsed="false">
      <c r="F154" s="324"/>
      <c r="G154" s="451" t="n">
        <f aca="false">SUM(G149:G153)</f>
        <v>0</v>
      </c>
      <c r="H154" s="451" t="n">
        <f aca="false">SUM(H149:H153)</f>
        <v>0</v>
      </c>
      <c r="I154" s="451" t="n">
        <f aca="false">SUM(I149:I153)</f>
        <v>0</v>
      </c>
      <c r="J154" s="451" t="n">
        <f aca="false">SUM(J149:J153)</f>
        <v>0</v>
      </c>
      <c r="K154" s="451"/>
      <c r="L154" s="451"/>
      <c r="M154" s="451" t="n">
        <f aca="false">SUM(M149:M153)</f>
        <v>0</v>
      </c>
      <c r="N154" s="698"/>
      <c r="O154" s="451" t="n">
        <f aca="false">SUM(O149:O153)</f>
        <v>0</v>
      </c>
      <c r="P154" s="451" t="n">
        <f aca="false">SUM(P149:P153)</f>
        <v>0</v>
      </c>
      <c r="Q154" s="324"/>
      <c r="R154" s="451" t="n">
        <f aca="false">SUM(R149:R153)</f>
        <v>0</v>
      </c>
      <c r="S154" s="451" t="n">
        <f aca="false">SUM(S149:S153)</f>
        <v>0</v>
      </c>
      <c r="T154" s="451" t="n">
        <f aca="false">SUM(T149:T153)</f>
        <v>0</v>
      </c>
      <c r="U154" s="451" t="n">
        <f aca="false">SUM(U149:U153)</f>
        <v>0</v>
      </c>
      <c r="V154" s="451"/>
      <c r="W154" s="451"/>
      <c r="X154" s="451" t="n">
        <f aca="false">SUM(X149:X153)</f>
        <v>0</v>
      </c>
      <c r="Y154" s="688"/>
      <c r="Z154" s="658" t="n">
        <f aca="false">SUM(Z149:Z153)</f>
        <v>0</v>
      </c>
      <c r="AA154" s="726" t="n">
        <f aca="false">SUM(AA149:AA153)</f>
        <v>0</v>
      </c>
      <c r="AB154" s="324"/>
      <c r="AP154" s="324"/>
      <c r="AQ154" s="324"/>
      <c r="AR154" s="451" t="n">
        <f aca="false">SUM(AR149:AR153)</f>
        <v>0</v>
      </c>
      <c r="AS154" s="451" t="n">
        <f aca="false">SUM(AS149:AS153)</f>
        <v>0</v>
      </c>
      <c r="AT154" s="451" t="n">
        <f aca="false">SUM(AT149:AT153)</f>
        <v>0</v>
      </c>
      <c r="AU154" s="709" t="n">
        <f aca="false">O154+Z154</f>
        <v>0</v>
      </c>
      <c r="AV154" s="709" t="n">
        <f aca="false">P154+AA154</f>
        <v>0</v>
      </c>
    </row>
    <row r="155" customFormat="false" ht="12.75" hidden="false" customHeight="false" outlineLevel="0" collapsed="false">
      <c r="F155" s="324"/>
      <c r="G155" s="451"/>
      <c r="H155" s="451"/>
      <c r="I155" s="451"/>
      <c r="J155" s="451"/>
      <c r="K155" s="451"/>
      <c r="L155" s="451"/>
      <c r="M155" s="451"/>
      <c r="N155" s="698"/>
      <c r="O155" s="451"/>
      <c r="P155" s="324"/>
      <c r="Q155" s="324"/>
      <c r="R155" s="451"/>
      <c r="S155" s="451"/>
      <c r="T155" s="451"/>
      <c r="U155" s="451"/>
      <c r="V155" s="451"/>
      <c r="W155" s="451"/>
      <c r="X155" s="451"/>
      <c r="Y155" s="688"/>
      <c r="Z155" s="451"/>
      <c r="AA155" s="451"/>
      <c r="AB155" s="324"/>
      <c r="AP155" s="324"/>
      <c r="AQ155" s="324"/>
      <c r="AR155" s="451"/>
      <c r="AS155" s="451"/>
      <c r="AT155" s="324"/>
      <c r="AU155" s="324"/>
      <c r="AV155" s="324"/>
    </row>
    <row r="156" customFormat="false" ht="12.75" hidden="false" customHeight="false" outlineLevel="0" collapsed="false">
      <c r="A156" s="28" t="s">
        <v>825</v>
      </c>
      <c r="F156" s="324"/>
      <c r="G156" s="658" t="n">
        <v>10.643</v>
      </c>
      <c r="H156" s="658" t="n">
        <v>10.643</v>
      </c>
      <c r="I156" s="658" t="n">
        <v>0.868</v>
      </c>
      <c r="J156" s="658" t="n">
        <v>0.858</v>
      </c>
      <c r="K156" s="658"/>
      <c r="L156" s="658"/>
      <c r="M156" s="761" t="n">
        <f aca="false">J156+1.089-1.123</f>
        <v>0.824</v>
      </c>
      <c r="N156" s="698"/>
      <c r="O156" s="658" t="n">
        <v>4.568</v>
      </c>
      <c r="P156" s="658" t="n">
        <v>4.568</v>
      </c>
      <c r="Q156" s="324"/>
      <c r="R156" s="451" t="n">
        <v>13.18</v>
      </c>
      <c r="S156" s="658" t="n">
        <v>12.537</v>
      </c>
      <c r="T156" s="658" t="n">
        <v>11.701</v>
      </c>
      <c r="U156" s="658" t="n">
        <v>5.659</v>
      </c>
      <c r="V156" s="658"/>
      <c r="W156" s="658"/>
      <c r="X156" s="451" t="n">
        <f aca="false">U156+0.564-0.564</f>
        <v>5.659</v>
      </c>
      <c r="Y156" s="688"/>
      <c r="Z156" s="658" t="n">
        <v>4.568</v>
      </c>
      <c r="AA156" s="658" t="n">
        <v>4.568</v>
      </c>
      <c r="AB156" s="324"/>
      <c r="AP156" s="324"/>
      <c r="AQ156" s="324"/>
      <c r="AR156" s="451" t="n">
        <f aca="false">T156+I156+AQ156+AF156</f>
        <v>12.569</v>
      </c>
      <c r="AS156" s="451" t="n">
        <f aca="false">U156+J156+AG156</f>
        <v>6.517</v>
      </c>
      <c r="AT156" s="324" t="n">
        <f aca="false">X156+M156+AJ156</f>
        <v>6.483</v>
      </c>
      <c r="AU156" s="665" t="n">
        <f aca="false">O156+Z156+AL156</f>
        <v>9.136</v>
      </c>
      <c r="AV156" s="665" t="n">
        <f aca="false">P156+AA156+AM156</f>
        <v>9.136</v>
      </c>
    </row>
    <row r="157" customFormat="false" ht="12.75" hidden="false" customHeight="false" outlineLevel="0" collapsed="false">
      <c r="A157" s="28" t="s">
        <v>826</v>
      </c>
      <c r="F157" s="324"/>
      <c r="G157" s="658"/>
      <c r="H157" s="658" t="n">
        <v>18.391</v>
      </c>
      <c r="I157" s="658"/>
      <c r="J157" s="658"/>
      <c r="K157" s="658"/>
      <c r="L157" s="658"/>
      <c r="M157" s="761"/>
      <c r="N157" s="698"/>
      <c r="O157" s="658"/>
      <c r="P157" s="658"/>
      <c r="Q157" s="324"/>
      <c r="R157" s="451"/>
      <c r="S157" s="658"/>
      <c r="T157" s="658"/>
      <c r="U157" s="658"/>
      <c r="V157" s="658"/>
      <c r="W157" s="658"/>
      <c r="X157" s="451"/>
      <c r="Y157" s="688"/>
      <c r="Z157" s="658"/>
      <c r="AA157" s="658"/>
      <c r="AB157" s="324"/>
      <c r="AP157" s="324"/>
      <c r="AQ157" s="324"/>
      <c r="AR157" s="451"/>
      <c r="AS157" s="451"/>
      <c r="AT157" s="324"/>
      <c r="AU157" s="665"/>
      <c r="AV157" s="665"/>
    </row>
    <row r="158" customFormat="false" ht="12.75" hidden="false" customHeight="false" outlineLevel="0" collapsed="false">
      <c r="F158" s="324"/>
      <c r="G158" s="451"/>
      <c r="H158" s="451"/>
      <c r="I158" s="451"/>
      <c r="J158" s="451"/>
      <c r="K158" s="451"/>
      <c r="L158" s="451"/>
      <c r="M158" s="451"/>
      <c r="N158" s="760"/>
      <c r="O158" s="451"/>
      <c r="P158" s="324"/>
      <c r="Q158" s="324"/>
      <c r="R158" s="451"/>
      <c r="S158" s="451"/>
      <c r="T158" s="451"/>
      <c r="U158" s="451"/>
      <c r="V158" s="451"/>
      <c r="W158" s="451"/>
      <c r="X158" s="451"/>
      <c r="Y158" s="688"/>
      <c r="Z158" s="451"/>
      <c r="AA158" s="451"/>
      <c r="AB158" s="324"/>
      <c r="AP158" s="324"/>
      <c r="AQ158" s="324"/>
      <c r="AR158" s="451"/>
      <c r="AS158" s="451"/>
      <c r="AT158" s="324"/>
      <c r="AU158" s="324"/>
      <c r="AV158" s="324"/>
    </row>
    <row r="159" customFormat="false" ht="12.75" hidden="false" customHeight="false" outlineLevel="0" collapsed="false">
      <c r="A159" s="28" t="s">
        <v>827</v>
      </c>
      <c r="F159" s="324"/>
      <c r="G159" s="324"/>
      <c r="H159" s="324"/>
      <c r="I159" s="324"/>
      <c r="J159" s="324"/>
      <c r="K159" s="324"/>
      <c r="L159" s="324"/>
      <c r="M159" s="451"/>
      <c r="N159" s="760"/>
      <c r="O159" s="451"/>
      <c r="P159" s="324"/>
      <c r="Q159" s="324"/>
      <c r="R159" s="324"/>
      <c r="S159" s="324"/>
      <c r="T159" s="324"/>
      <c r="U159" s="324"/>
      <c r="V159" s="324"/>
      <c r="W159" s="324"/>
      <c r="X159" s="451"/>
      <c r="Y159" s="688"/>
      <c r="Z159" s="451"/>
      <c r="AA159" s="451"/>
      <c r="AB159" s="324"/>
      <c r="AP159" s="324"/>
      <c r="AQ159" s="324"/>
      <c r="AR159" s="451"/>
      <c r="AS159" s="668"/>
      <c r="AT159" s="324"/>
      <c r="AU159" s="324"/>
      <c r="AV159" s="324"/>
    </row>
    <row r="160" customFormat="false" ht="12.75" hidden="false" customHeight="false" outlineLevel="0" collapsed="false">
      <c r="A160" s="0" t="s">
        <v>612</v>
      </c>
      <c r="F160" s="324"/>
      <c r="G160" s="451" t="n">
        <f aca="false">G142</f>
        <v>172.684203903147</v>
      </c>
      <c r="H160" s="451" t="n">
        <f aca="false">H142</f>
        <v>178.5617534844</v>
      </c>
      <c r="I160" s="451" t="n">
        <f aca="false">I142</f>
        <v>150.250622377454</v>
      </c>
      <c r="J160" s="451" t="n">
        <f aca="false">J142</f>
        <v>154.338853327104</v>
      </c>
      <c r="K160" s="658"/>
      <c r="L160" s="658"/>
      <c r="M160" s="761" t="n">
        <f aca="false">J160+17.613-21.421</f>
        <v>150.530853327104</v>
      </c>
      <c r="N160" s="370"/>
      <c r="O160" s="324" t="n">
        <f aca="false">O130-O136-O156</f>
        <v>207.017698720433</v>
      </c>
      <c r="P160" s="324" t="n">
        <f aca="false">P130-P136-P156</f>
        <v>235.232177752129</v>
      </c>
      <c r="Q160" s="324"/>
      <c r="R160" s="451" t="n">
        <f aca="false">R142</f>
        <v>150.624628</v>
      </c>
      <c r="S160" s="451" t="n">
        <f aca="false">S142</f>
        <v>128.597384</v>
      </c>
      <c r="T160" s="451" t="n">
        <f aca="false">T142</f>
        <v>124.652045</v>
      </c>
      <c r="U160" s="451" t="n">
        <f aca="false">U142</f>
        <v>44.845285</v>
      </c>
      <c r="V160" s="658"/>
      <c r="W160" s="658"/>
      <c r="X160" s="324" t="n">
        <f aca="false">U160+29.064-24.485</f>
        <v>49.424285</v>
      </c>
      <c r="Y160" s="688"/>
      <c r="Z160" s="658" t="n">
        <f aca="false">Z130-Z136-Z156</f>
        <v>96.9262577123022</v>
      </c>
      <c r="AA160" s="658" t="n">
        <f aca="false">AA130-AA136-AA156</f>
        <v>143.283128143698</v>
      </c>
      <c r="AB160" s="324"/>
      <c r="AP160" s="324"/>
      <c r="AQ160" s="324"/>
      <c r="AR160" s="451" t="n">
        <f aca="false">T160+I160+AQ160+AF160</f>
        <v>274.902667377454</v>
      </c>
      <c r="AS160" s="324" t="n">
        <f aca="false">U160+J160+AG160</f>
        <v>199.184138327104</v>
      </c>
      <c r="AT160" s="324" t="n">
        <f aca="false">X160+M160+AJ160</f>
        <v>199.955138327104</v>
      </c>
      <c r="AU160" s="665" t="n">
        <f aca="false">O160+Z160+AL160</f>
        <v>303.943956432735</v>
      </c>
      <c r="AV160" s="665" t="n">
        <f aca="false">P160+AA160+AM160</f>
        <v>378.515305895826</v>
      </c>
    </row>
    <row r="161" customFormat="false" ht="12.75" hidden="false" customHeight="false" outlineLevel="0" collapsed="false">
      <c r="A161" s="0" t="s">
        <v>575</v>
      </c>
      <c r="F161" s="324"/>
      <c r="G161" s="451" t="n">
        <f aca="false">G143</f>
        <v>34.1517450968524</v>
      </c>
      <c r="H161" s="451" t="n">
        <f aca="false">H143</f>
        <v>44.6133275156</v>
      </c>
      <c r="I161" s="451" t="n">
        <f aca="false">I143</f>
        <v>51.4941466225461</v>
      </c>
      <c r="J161" s="451" t="n">
        <f aca="false">J143</f>
        <v>36.4346696728957</v>
      </c>
      <c r="K161" s="658"/>
      <c r="L161" s="658"/>
      <c r="M161" s="761" t="n">
        <f aca="false">J161+0.214-0.855</f>
        <v>35.7936696728957</v>
      </c>
      <c r="N161" s="762"/>
      <c r="O161" s="324" t="n">
        <f aca="false">O131-O137</f>
        <v>43.3771003637343</v>
      </c>
      <c r="P161" s="324" t="n">
        <f aca="false">P131-P137</f>
        <v>50.4158784446939</v>
      </c>
      <c r="Q161" s="324"/>
      <c r="R161" s="451" t="n">
        <f aca="false">R143</f>
        <v>0</v>
      </c>
      <c r="S161" s="451" t="n">
        <f aca="false">S143</f>
        <v>0</v>
      </c>
      <c r="T161" s="451" t="n">
        <f aca="false">T143</f>
        <v>0</v>
      </c>
      <c r="U161" s="451" t="n">
        <f aca="false">U143</f>
        <v>0</v>
      </c>
      <c r="V161" s="324"/>
      <c r="W161" s="324"/>
      <c r="X161" s="324"/>
      <c r="Y161" s="688"/>
      <c r="Z161" s="324" t="n">
        <f aca="false">Z131-Z137</f>
        <v>0</v>
      </c>
      <c r="AA161" s="324" t="n">
        <f aca="false">AA131-AA137</f>
        <v>0</v>
      </c>
      <c r="AB161" s="324"/>
      <c r="AP161" s="324"/>
      <c r="AQ161" s="324"/>
      <c r="AR161" s="451" t="n">
        <f aca="false">T161+I161+AQ161+AF161</f>
        <v>51.4941466225461</v>
      </c>
      <c r="AS161" s="324" t="n">
        <f aca="false">U161+J161+AG161</f>
        <v>36.4346696728957</v>
      </c>
      <c r="AT161" s="324" t="n">
        <f aca="false">X161+M161+AJ161</f>
        <v>35.7936696728957</v>
      </c>
      <c r="AU161" s="665" t="n">
        <f aca="false">O161+Z161+AL161</f>
        <v>43.3771003637343</v>
      </c>
      <c r="AV161" s="665" t="n">
        <f aca="false">P161+AA161+AM161</f>
        <v>50.4158784446939</v>
      </c>
    </row>
    <row r="162" customFormat="false" ht="15" hidden="false" customHeight="false" outlineLevel="0" collapsed="false">
      <c r="A162" s="667" t="s">
        <v>779</v>
      </c>
      <c r="F162" s="324"/>
      <c r="G162" s="660" t="n">
        <f aca="false">G144</f>
        <v>-14.224716</v>
      </c>
      <c r="H162" s="660" t="n">
        <f aca="false">H144</f>
        <v>-41.834005</v>
      </c>
      <c r="I162" s="660" t="n">
        <f aca="false">I144</f>
        <v>-10.6908199999999</v>
      </c>
      <c r="J162" s="660" t="n">
        <f aca="false">J144</f>
        <v>-20.216977</v>
      </c>
      <c r="K162" s="726"/>
      <c r="L162" s="726"/>
      <c r="M162" s="763" t="n">
        <f aca="false">J162+1.676+0.715</f>
        <v>-17.825977</v>
      </c>
      <c r="N162" s="659"/>
      <c r="O162" s="660" t="n">
        <f aca="false">O132-O138</f>
        <v>-20.1435510619736</v>
      </c>
      <c r="P162" s="660" t="n">
        <f aca="false">P132-P138</f>
        <v>-20.0724176288135</v>
      </c>
      <c r="Q162" s="660"/>
      <c r="R162" s="660" t="n">
        <f aca="false">R144</f>
        <v>-4.81017</v>
      </c>
      <c r="S162" s="660" t="n">
        <f aca="false">S144</f>
        <v>-3.01688700000001</v>
      </c>
      <c r="T162" s="660" t="n">
        <f aca="false">T144</f>
        <v>7.82820799999999</v>
      </c>
      <c r="U162" s="660" t="n">
        <f aca="false">U144</f>
        <v>7.01253800000001</v>
      </c>
      <c r="V162" s="660"/>
      <c r="W162" s="660"/>
      <c r="X162" s="660"/>
      <c r="Y162" s="725"/>
      <c r="Z162" s="660" t="n">
        <f aca="false">Z132-Z138</f>
        <v>7.01253800000001</v>
      </c>
      <c r="AA162" s="660" t="n">
        <f aca="false">AA132-AA138</f>
        <v>7.01253800000001</v>
      </c>
      <c r="AB162" s="660"/>
      <c r="AP162" s="660"/>
      <c r="AQ162" s="660"/>
      <c r="AR162" s="451" t="n">
        <f aca="false">T162+I162+AQ162+AF162</f>
        <v>-2.86261199999994</v>
      </c>
      <c r="AS162" s="660" t="n">
        <f aca="false">U162+J162+AG162</f>
        <v>-13.204439</v>
      </c>
      <c r="AT162" s="324" t="n">
        <f aca="false">X162+M162+AJ162</f>
        <v>-17.825977</v>
      </c>
      <c r="AU162" s="666" t="n">
        <f aca="false">O162+Z162+AL162</f>
        <v>-13.1310130619736</v>
      </c>
      <c r="AV162" s="666" t="n">
        <f aca="false">P162+AA162+AM162</f>
        <v>-13.0598796288135</v>
      </c>
    </row>
    <row r="163" customFormat="false" ht="13.5" hidden="false" customHeight="false" outlineLevel="0" collapsed="false">
      <c r="G163" s="663" t="n">
        <f aca="false">G145-G156-G157</f>
        <v>181.968233</v>
      </c>
      <c r="H163" s="663" t="n">
        <f aca="false">H145-H156-H157</f>
        <v>152.307076</v>
      </c>
      <c r="I163" s="663" t="n">
        <f aca="false">I145-I156-I157</f>
        <v>190.185949</v>
      </c>
      <c r="J163" s="663" t="n">
        <f aca="false">J145-J156-J157</f>
        <v>169.698546</v>
      </c>
      <c r="K163" s="663"/>
      <c r="L163" s="663"/>
      <c r="M163" s="663" t="n">
        <f aca="false">SUM(M160:M162)</f>
        <v>168.498546</v>
      </c>
      <c r="N163" s="764"/>
      <c r="O163" s="663" t="n">
        <f aca="false">SUM(O160:O162)</f>
        <v>230.251248022193</v>
      </c>
      <c r="P163" s="663" t="n">
        <f aca="false">SUM(P160:P162)</f>
        <v>265.575638568009</v>
      </c>
      <c r="Q163" s="664"/>
      <c r="R163" s="663" t="n">
        <f aca="false">R145-R156-R157</f>
        <v>132.634458</v>
      </c>
      <c r="S163" s="663" t="n">
        <f aca="false">S145-S156-S157</f>
        <v>113.043497</v>
      </c>
      <c r="T163" s="663" t="n">
        <f aca="false">T145-T156-T157</f>
        <v>120.779253</v>
      </c>
      <c r="U163" s="663" t="n">
        <f aca="false">U145-U156-U157</f>
        <v>46.198823</v>
      </c>
      <c r="V163" s="663"/>
      <c r="W163" s="663"/>
      <c r="X163" s="663" t="n">
        <f aca="false">X108-X121+X127-X139+X154-X156</f>
        <v>-78.4151769999999</v>
      </c>
      <c r="Y163" s="705"/>
      <c r="Z163" s="663" t="n">
        <f aca="false">SUM(Z160:Z162)</f>
        <v>103.938795712302</v>
      </c>
      <c r="AA163" s="663" t="n">
        <f aca="false">SUM(AA160:AA162)</f>
        <v>150.295666143698</v>
      </c>
      <c r="AB163" s="664"/>
      <c r="AP163" s="664"/>
      <c r="AQ163" s="664"/>
      <c r="AR163" s="663" t="n">
        <f aca="false">T163+I163+AQ163+AF163</f>
        <v>310.965202</v>
      </c>
      <c r="AS163" s="663" t="n">
        <f aca="false">U163+J163+AG163</f>
        <v>215.897369</v>
      </c>
      <c r="AT163" s="663" t="n">
        <f aca="false">X163+M163+AJ163</f>
        <v>90.0833690000002</v>
      </c>
      <c r="AU163" s="663" t="n">
        <f aca="false">O163+Z163+AL163</f>
        <v>334.190043734496</v>
      </c>
      <c r="AV163" s="663" t="n">
        <f aca="false">P163+AA163+AM163</f>
        <v>415.871304711707</v>
      </c>
      <c r="AW163" s="661"/>
      <c r="AX163" s="661"/>
    </row>
    <row r="164" customFormat="false" ht="13.5" hidden="false" customHeight="false" outlineLevel="0" collapsed="false">
      <c r="A164" s="0" t="s">
        <v>828</v>
      </c>
      <c r="G164" s="370"/>
      <c r="H164" s="324"/>
      <c r="I164" s="324"/>
      <c r="J164" s="324"/>
      <c r="K164" s="324"/>
      <c r="L164" s="324"/>
      <c r="M164" s="671"/>
      <c r="N164" s="760"/>
      <c r="O164" s="671"/>
      <c r="P164" s="370"/>
      <c r="Q164" s="370"/>
      <c r="R164" s="370"/>
      <c r="S164" s="451"/>
      <c r="T164" s="451"/>
      <c r="U164" s="451"/>
      <c r="V164" s="451"/>
      <c r="W164" s="451"/>
      <c r="X164" s="451"/>
      <c r="Y164" s="658"/>
      <c r="Z164" s="451"/>
      <c r="AA164" s="451"/>
      <c r="AB164" s="370"/>
      <c r="AP164" s="370"/>
      <c r="AQ164" s="370"/>
      <c r="AR164" s="451"/>
      <c r="AS164" s="451"/>
      <c r="AT164" s="451"/>
      <c r="AU164" s="451"/>
      <c r="AV164" s="451"/>
    </row>
    <row r="165" customFormat="false" ht="12.75" hidden="false" customHeight="false" outlineLevel="0" collapsed="false">
      <c r="G165" s="370"/>
      <c r="H165" s="324"/>
      <c r="I165" s="324"/>
      <c r="J165" s="324"/>
      <c r="K165" s="324"/>
      <c r="L165" s="324"/>
      <c r="M165" s="671"/>
      <c r="N165" s="760"/>
      <c r="O165" s="671"/>
      <c r="P165" s="370"/>
      <c r="Q165" s="370"/>
      <c r="R165" s="370"/>
      <c r="S165" s="451"/>
      <c r="T165" s="451"/>
      <c r="U165" s="451"/>
      <c r="V165" s="451"/>
      <c r="W165" s="451"/>
      <c r="X165" s="451"/>
      <c r="Y165" s="658"/>
      <c r="Z165" s="451"/>
      <c r="AA165" s="451"/>
      <c r="AB165" s="370"/>
      <c r="AP165" s="370"/>
      <c r="AQ165" s="370"/>
      <c r="AR165" s="451"/>
      <c r="AS165" s="451"/>
      <c r="AT165" s="451"/>
    </row>
    <row r="166" customFormat="false" ht="12.75" hidden="false" customHeight="false" outlineLevel="0" collapsed="false">
      <c r="A166" s="0" t="s">
        <v>829</v>
      </c>
      <c r="F166" s="324"/>
      <c r="G166" s="370"/>
      <c r="H166" s="324"/>
      <c r="I166" s="324"/>
      <c r="J166" s="670" t="n">
        <v>158.8</v>
      </c>
      <c r="K166" s="670"/>
      <c r="L166" s="670"/>
      <c r="M166" s="765"/>
      <c r="N166" s="766"/>
      <c r="O166" s="670" t="n">
        <v>158.8</v>
      </c>
      <c r="P166" s="670" t="n">
        <v>158.8</v>
      </c>
      <c r="Q166" s="370"/>
      <c r="R166" s="370"/>
      <c r="S166" s="451"/>
      <c r="T166" s="451"/>
      <c r="U166" s="670" t="n">
        <v>158.8</v>
      </c>
      <c r="V166" s="451"/>
      <c r="W166" s="451"/>
      <c r="X166" s="670" t="n">
        <v>158.8</v>
      </c>
      <c r="Y166" s="658"/>
      <c r="Z166" s="670" t="n">
        <v>158.8</v>
      </c>
      <c r="AA166" s="670" t="n">
        <v>158.8</v>
      </c>
      <c r="AB166" s="370"/>
      <c r="AP166" s="370"/>
      <c r="AQ166" s="370"/>
      <c r="AR166" s="658" t="n">
        <v>158.8</v>
      </c>
      <c r="AS166" s="658" t="n">
        <v>158.8</v>
      </c>
      <c r="AT166" s="658" t="n">
        <v>158.8</v>
      </c>
      <c r="AU166" s="658" t="n">
        <v>158.8</v>
      </c>
      <c r="AV166" s="658" t="n">
        <v>158.8</v>
      </c>
    </row>
    <row r="167" customFormat="false" ht="12.75" hidden="false" customHeight="false" outlineLevel="0" collapsed="false">
      <c r="G167" s="370"/>
      <c r="H167" s="324"/>
      <c r="I167" s="324"/>
      <c r="J167" s="670"/>
      <c r="K167" s="670"/>
      <c r="L167" s="670"/>
      <c r="M167" s="765"/>
      <c r="N167" s="766"/>
      <c r="O167" s="670"/>
      <c r="P167" s="670"/>
      <c r="Q167" s="370"/>
      <c r="R167" s="370"/>
      <c r="S167" s="451"/>
      <c r="T167" s="451"/>
      <c r="U167" s="670"/>
      <c r="V167" s="658"/>
      <c r="W167" s="658"/>
      <c r="X167" s="670"/>
      <c r="Y167" s="658"/>
      <c r="Z167" s="670"/>
      <c r="AA167" s="670"/>
      <c r="AB167" s="370"/>
      <c r="AP167" s="370"/>
      <c r="AQ167" s="370"/>
      <c r="AR167" s="451"/>
      <c r="AS167" s="451"/>
      <c r="AT167" s="451"/>
      <c r="AU167" s="324"/>
      <c r="AV167" s="324"/>
      <c r="AW167" s="324"/>
      <c r="AX167" s="324"/>
      <c r="AY167" s="324"/>
      <c r="AZ167" s="324"/>
      <c r="BA167" s="324"/>
      <c r="BB167" s="324"/>
      <c r="BC167" s="324"/>
      <c r="BD167" s="324"/>
      <c r="BE167" s="324"/>
    </row>
    <row r="168" customFormat="false" ht="12.75" hidden="false" customHeight="false" outlineLevel="0" collapsed="false">
      <c r="A168" s="28" t="s">
        <v>521</v>
      </c>
      <c r="G168" s="672"/>
      <c r="H168" s="369"/>
      <c r="I168" s="369"/>
      <c r="J168" s="767" t="n">
        <f aca="false">J163/J166</f>
        <v>1.06863064231738</v>
      </c>
      <c r="K168" s="767"/>
      <c r="L168" s="767"/>
      <c r="M168" s="369"/>
      <c r="N168" s="768"/>
      <c r="O168" s="767" t="n">
        <f aca="false">O163/O166</f>
        <v>1.44994488678963</v>
      </c>
      <c r="P168" s="767" t="n">
        <f aca="false">P163/P166</f>
        <v>1.67239067108318</v>
      </c>
      <c r="Q168" s="672"/>
      <c r="R168" s="672"/>
      <c r="S168" s="596"/>
      <c r="T168" s="596"/>
      <c r="U168" s="767" t="n">
        <f aca="false">U163/U166</f>
        <v>0.290924578085642</v>
      </c>
      <c r="V168" s="369"/>
      <c r="W168" s="369"/>
      <c r="X168" s="767" t="n">
        <f aca="false">X163/X166</f>
        <v>-0.493798343828715</v>
      </c>
      <c r="Y168" s="729"/>
      <c r="Z168" s="767" t="n">
        <f aca="false">Z163/Z166</f>
        <v>0.654526421362105</v>
      </c>
      <c r="AA168" s="767" t="n">
        <f aca="false">AA163/AA166</f>
        <v>0.946446260350741</v>
      </c>
      <c r="AB168" s="672"/>
      <c r="AP168" s="672"/>
      <c r="AQ168" s="672"/>
      <c r="AR168" s="596" t="n">
        <f aca="false">AR163/AR166</f>
        <v>1.95821915617129</v>
      </c>
      <c r="AS168" s="596" t="n">
        <f aca="false">AS163/AS166</f>
        <v>1.35955522040302</v>
      </c>
      <c r="AT168" s="596" t="n">
        <f aca="false">AT163/AT166</f>
        <v>0.567275623425694</v>
      </c>
      <c r="AU168" s="596" t="n">
        <f aca="false">AU163/AU166</f>
        <v>2.10447130815174</v>
      </c>
      <c r="AV168" s="596" t="n">
        <f aca="false">AV163/AV166</f>
        <v>2.61883693143392</v>
      </c>
      <c r="AW168" s="369"/>
      <c r="AX168" s="369"/>
      <c r="AY168" s="369"/>
      <c r="AZ168" s="369"/>
      <c r="BA168" s="369"/>
      <c r="BB168" s="369"/>
      <c r="BC168" s="369"/>
      <c r="BD168" s="369"/>
      <c r="BE168" s="369"/>
      <c r="BF168" s="369"/>
      <c r="BG168" s="369"/>
      <c r="BH168" s="369"/>
      <c r="BI168" s="369"/>
      <c r="BJ168" s="369"/>
      <c r="BK168" s="369"/>
      <c r="BL168" s="369"/>
      <c r="BM168" s="369"/>
      <c r="BN168" s="369"/>
      <c r="BO168" s="369"/>
      <c r="BP168" s="369"/>
      <c r="BQ168" s="369"/>
      <c r="BR168" s="369"/>
      <c r="BS168" s="369"/>
      <c r="BT168" s="369"/>
      <c r="BU168" s="369"/>
      <c r="BV168" s="369"/>
      <c r="BW168" s="369"/>
      <c r="BX168" s="369"/>
      <c r="BY168" s="369"/>
      <c r="BZ168" s="369"/>
    </row>
    <row r="169" customFormat="false" ht="12.75" hidden="false" customHeight="false" outlineLevel="0" collapsed="false">
      <c r="A169" s="0" t="s">
        <v>830</v>
      </c>
      <c r="G169" s="369"/>
      <c r="H169" s="729"/>
      <c r="I169" s="729"/>
      <c r="J169" s="769" t="n">
        <v>0.77</v>
      </c>
      <c r="K169" s="769"/>
      <c r="L169" s="769"/>
      <c r="M169" s="770"/>
      <c r="N169" s="771"/>
      <c r="O169" s="769" t="n">
        <v>0.77</v>
      </c>
      <c r="P169" s="769" t="n">
        <v>0.77</v>
      </c>
      <c r="Q169" s="729"/>
      <c r="R169" s="729"/>
      <c r="S169" s="729"/>
      <c r="T169" s="729"/>
      <c r="U169" s="769" t="n">
        <v>0.77</v>
      </c>
      <c r="V169" s="729"/>
      <c r="W169" s="729"/>
      <c r="X169" s="769" t="n">
        <v>0.77</v>
      </c>
      <c r="Y169" s="729"/>
      <c r="Z169" s="769" t="n">
        <v>0.77</v>
      </c>
      <c r="AA169" s="769" t="n">
        <v>0.77</v>
      </c>
      <c r="AB169" s="729"/>
      <c r="AP169" s="729"/>
      <c r="AQ169" s="729"/>
      <c r="AR169" s="729"/>
      <c r="AS169" s="729"/>
      <c r="AT169" s="729"/>
      <c r="AU169" s="729"/>
      <c r="AV169" s="729"/>
      <c r="AW169" s="729"/>
      <c r="AX169" s="369"/>
      <c r="AY169" s="369"/>
      <c r="AZ169" s="369"/>
      <c r="BA169" s="369"/>
      <c r="BB169" s="369"/>
      <c r="BC169" s="369"/>
      <c r="BD169" s="369"/>
      <c r="BE169" s="369"/>
      <c r="BF169" s="369"/>
      <c r="BG169" s="369"/>
      <c r="BH169" s="369"/>
      <c r="BI169" s="369"/>
      <c r="BJ169" s="369"/>
      <c r="BK169" s="369"/>
      <c r="BL169" s="369"/>
      <c r="BM169" s="369"/>
      <c r="BN169" s="369"/>
      <c r="BO169" s="369"/>
      <c r="BP169" s="369"/>
      <c r="BQ169" s="369"/>
      <c r="BR169" s="369"/>
      <c r="BS169" s="369"/>
      <c r="BT169" s="369"/>
      <c r="BU169" s="369"/>
      <c r="BV169" s="369"/>
      <c r="BW169" s="369"/>
      <c r="BX169" s="369"/>
      <c r="BY169" s="369"/>
      <c r="BZ169" s="369"/>
    </row>
    <row r="170" customFormat="false" ht="12.75" hidden="false" customHeight="false" outlineLevel="0" collapsed="false">
      <c r="G170" s="369"/>
      <c r="H170" s="729"/>
      <c r="I170" s="729"/>
      <c r="J170" s="769"/>
      <c r="K170" s="769"/>
      <c r="L170" s="769"/>
      <c r="M170" s="729"/>
      <c r="N170" s="771"/>
      <c r="O170" s="729"/>
      <c r="P170" s="729"/>
      <c r="Q170" s="729"/>
      <c r="R170" s="729"/>
      <c r="S170" s="729"/>
      <c r="T170" s="729"/>
      <c r="U170" s="729"/>
      <c r="V170" s="729"/>
      <c r="W170" s="729"/>
      <c r="X170" s="729"/>
      <c r="Y170" s="729"/>
      <c r="Z170" s="729"/>
      <c r="AA170" s="729"/>
      <c r="AB170" s="729"/>
      <c r="AP170" s="729"/>
      <c r="AQ170" s="729"/>
      <c r="AR170" s="729"/>
      <c r="AS170" s="729"/>
      <c r="AT170" s="729"/>
      <c r="AU170" s="729"/>
      <c r="AV170" s="729"/>
      <c r="AW170" s="729"/>
      <c r="AX170" s="369"/>
      <c r="AY170" s="369"/>
      <c r="AZ170" s="369"/>
      <c r="BA170" s="369"/>
      <c r="BB170" s="369"/>
      <c r="BC170" s="369"/>
      <c r="BD170" s="369"/>
      <c r="BE170" s="369"/>
      <c r="BF170" s="369"/>
      <c r="BG170" s="369"/>
      <c r="BH170" s="369"/>
      <c r="BI170" s="369"/>
      <c r="BJ170" s="369"/>
      <c r="BK170" s="369"/>
      <c r="BL170" s="369"/>
      <c r="BM170" s="369"/>
      <c r="BN170" s="369"/>
      <c r="BO170" s="369"/>
      <c r="BP170" s="369"/>
      <c r="BQ170" s="369"/>
      <c r="BR170" s="369"/>
      <c r="BS170" s="369"/>
      <c r="BT170" s="369"/>
      <c r="BU170" s="369"/>
      <c r="BV170" s="369"/>
      <c r="BW170" s="369"/>
      <c r="BX170" s="369"/>
      <c r="BY170" s="369"/>
      <c r="BZ170" s="369"/>
    </row>
    <row r="171" customFormat="false" ht="12.75" hidden="false" customHeight="false" outlineLevel="0" collapsed="false">
      <c r="A171" s="28"/>
      <c r="G171" s="689"/>
      <c r="H171" s="689"/>
      <c r="I171" s="689"/>
      <c r="J171" s="689"/>
      <c r="K171" s="689"/>
      <c r="L171" s="689"/>
      <c r="M171" s="689"/>
      <c r="N171" s="689"/>
      <c r="O171" s="689"/>
      <c r="P171" s="689"/>
      <c r="Q171" s="729"/>
      <c r="R171" s="729"/>
      <c r="S171" s="689"/>
      <c r="T171" s="689"/>
      <c r="U171" s="689"/>
      <c r="V171" s="689"/>
      <c r="W171" s="689"/>
      <c r="X171" s="689"/>
      <c r="Y171" s="729"/>
      <c r="Z171" s="369"/>
      <c r="AA171" s="689"/>
      <c r="AB171" s="729"/>
      <c r="AP171" s="729"/>
      <c r="AQ171" s="729"/>
      <c r="AR171" s="689"/>
      <c r="AS171" s="689"/>
      <c r="AT171" s="689"/>
      <c r="AU171" s="689"/>
      <c r="AV171" s="689"/>
      <c r="AW171" s="729"/>
      <c r="AX171" s="369"/>
      <c r="AY171" s="369"/>
      <c r="AZ171" s="369"/>
      <c r="BA171" s="369"/>
      <c r="BB171" s="369"/>
      <c r="BC171" s="369"/>
      <c r="BD171" s="369"/>
      <c r="BE171" s="369"/>
      <c r="BF171" s="369"/>
      <c r="BG171" s="369"/>
      <c r="BH171" s="369"/>
      <c r="BI171" s="369"/>
      <c r="BJ171" s="369"/>
      <c r="BK171" s="369"/>
      <c r="BL171" s="369"/>
      <c r="BM171" s="369"/>
      <c r="BN171" s="369"/>
      <c r="BO171" s="369"/>
      <c r="BP171" s="369"/>
      <c r="BQ171" s="369"/>
      <c r="BR171" s="369"/>
      <c r="BS171" s="369"/>
      <c r="BT171" s="369"/>
      <c r="BU171" s="369"/>
      <c r="BV171" s="369"/>
      <c r="BW171" s="369"/>
      <c r="BX171" s="369"/>
      <c r="BY171" s="369"/>
      <c r="BZ171" s="369"/>
    </row>
    <row r="172" customFormat="false" ht="12.75" hidden="false" customHeight="false" outlineLevel="0" collapsed="false">
      <c r="G172" s="369"/>
      <c r="H172" s="729"/>
      <c r="I172" s="729"/>
      <c r="J172" s="769"/>
      <c r="K172" s="769"/>
      <c r="L172" s="769"/>
      <c r="M172" s="729"/>
      <c r="N172" s="771"/>
      <c r="O172" s="729"/>
      <c r="P172" s="729"/>
      <c r="Q172" s="729"/>
      <c r="R172" s="729"/>
      <c r="S172" s="729"/>
      <c r="T172" s="729"/>
      <c r="U172" s="729"/>
      <c r="V172" s="729"/>
      <c r="W172" s="729"/>
      <c r="X172" s="729"/>
      <c r="Y172" s="729"/>
      <c r="Z172" s="729"/>
      <c r="AA172" s="729"/>
      <c r="AB172" s="729"/>
      <c r="AP172" s="729"/>
      <c r="AQ172" s="729"/>
      <c r="AR172" s="729"/>
      <c r="AS172" s="729"/>
      <c r="AT172" s="729"/>
      <c r="AU172" s="729"/>
      <c r="AV172" s="729"/>
      <c r="AW172" s="729"/>
      <c r="AX172" s="369"/>
      <c r="AY172" s="369"/>
      <c r="AZ172" s="369"/>
      <c r="BA172" s="369"/>
      <c r="BB172" s="369"/>
      <c r="BC172" s="369"/>
      <c r="BD172" s="369"/>
      <c r="BE172" s="369"/>
      <c r="BF172" s="369"/>
      <c r="BG172" s="369"/>
      <c r="BH172" s="369"/>
      <c r="BI172" s="369"/>
      <c r="BJ172" s="369"/>
      <c r="BK172" s="369"/>
      <c r="BL172" s="369"/>
      <c r="BM172" s="369"/>
      <c r="BN172" s="369"/>
      <c r="BO172" s="369"/>
      <c r="BP172" s="369"/>
      <c r="BQ172" s="369"/>
      <c r="BR172" s="369"/>
      <c r="BS172" s="369"/>
      <c r="BT172" s="369"/>
      <c r="BU172" s="369"/>
      <c r="BV172" s="369"/>
      <c r="BW172" s="369"/>
      <c r="BX172" s="369"/>
      <c r="BY172" s="369"/>
      <c r="BZ172" s="369"/>
    </row>
    <row r="173" customFormat="false" ht="12.75" hidden="false" customHeight="false" outlineLevel="0" collapsed="false">
      <c r="B173" s="28" t="s">
        <v>259</v>
      </c>
      <c r="I173" s="772"/>
      <c r="N173" s="698"/>
      <c r="Y173" s="436"/>
    </row>
    <row r="174" customFormat="false" ht="12.75" hidden="false" customHeight="false" outlineLevel="0" collapsed="false">
      <c r="N174" s="698"/>
      <c r="Y174" s="436"/>
    </row>
    <row r="175" customFormat="false" ht="12.75" hidden="false" customHeight="false" outlineLevel="0" collapsed="false">
      <c r="A175" s="28" t="s">
        <v>831</v>
      </c>
      <c r="G175" s="324"/>
      <c r="I175" s="657" t="n">
        <v>1997</v>
      </c>
      <c r="J175" s="657" t="n">
        <v>1998</v>
      </c>
      <c r="K175" s="657"/>
      <c r="L175" s="657"/>
      <c r="M175" s="657"/>
      <c r="N175" s="759"/>
      <c r="O175" s="657"/>
      <c r="P175" s="324"/>
      <c r="Q175" s="324"/>
      <c r="R175" s="324"/>
      <c r="T175" s="657" t="n">
        <v>1997</v>
      </c>
      <c r="U175" s="657" t="n">
        <v>1998</v>
      </c>
      <c r="V175" s="657"/>
      <c r="W175" s="657"/>
      <c r="X175" s="657"/>
      <c r="Y175" s="773"/>
      <c r="Z175" s="657"/>
      <c r="AA175" s="657"/>
      <c r="AQ175" s="324"/>
      <c r="AR175" s="657" t="n">
        <v>1997</v>
      </c>
      <c r="AS175" s="657" t="n">
        <v>1998</v>
      </c>
    </row>
    <row r="176" customFormat="false" ht="12.75" hidden="false" customHeight="false" outlineLevel="0" collapsed="false">
      <c r="A176" s="0" t="s">
        <v>832</v>
      </c>
      <c r="G176" s="324"/>
      <c r="I176" s="324" t="n">
        <v>0</v>
      </c>
      <c r="J176" s="658" t="n">
        <f aca="false">265.924+9.815</f>
        <v>275.739</v>
      </c>
      <c r="K176" s="324"/>
      <c r="L176" s="324"/>
      <c r="M176" s="451"/>
      <c r="N176" s="698"/>
      <c r="O176" s="451"/>
      <c r="P176" s="324"/>
      <c r="Q176" s="324"/>
      <c r="R176" s="324"/>
      <c r="T176" s="324" t="n">
        <v>0</v>
      </c>
      <c r="U176" s="658" t="n">
        <f aca="false">157.6+43.867</f>
        <v>201.467</v>
      </c>
      <c r="V176" s="324"/>
      <c r="W176" s="324"/>
      <c r="X176" s="451"/>
      <c r="Y176" s="658"/>
      <c r="Z176" s="451"/>
      <c r="AA176" s="451"/>
      <c r="AB176" s="324"/>
      <c r="AP176" s="324"/>
      <c r="AQ176" s="324"/>
      <c r="AR176" s="451" t="n">
        <v>0</v>
      </c>
      <c r="AS176" s="658" t="n">
        <f aca="false">'Corp I-S&amp;B-S'!C61</f>
        <v>363.78</v>
      </c>
      <c r="AT176" s="324"/>
    </row>
    <row r="177" customFormat="false" ht="12.75" hidden="false" customHeight="false" outlineLevel="0" collapsed="false">
      <c r="A177" s="0" t="s">
        <v>833</v>
      </c>
      <c r="G177" s="324"/>
      <c r="I177" s="324" t="n">
        <v>0</v>
      </c>
      <c r="J177" s="658" t="n">
        <v>130</v>
      </c>
      <c r="K177" s="324"/>
      <c r="L177" s="324"/>
      <c r="M177" s="451"/>
      <c r="N177" s="698"/>
      <c r="O177" s="451"/>
      <c r="P177" s="324"/>
      <c r="Q177" s="324"/>
      <c r="R177" s="324"/>
      <c r="T177" s="324" t="n">
        <v>0</v>
      </c>
      <c r="U177" s="658" t="n">
        <v>6</v>
      </c>
      <c r="V177" s="324"/>
      <c r="W177" s="324"/>
      <c r="X177" s="451"/>
      <c r="Y177" s="658"/>
      <c r="Z177" s="451"/>
      <c r="AA177" s="451"/>
      <c r="AB177" s="324"/>
      <c r="AP177" s="324"/>
      <c r="AQ177" s="324"/>
      <c r="AR177" s="324" t="n">
        <v>0</v>
      </c>
      <c r="AS177" s="658" t="n">
        <f aca="false">'Corp I-S&amp;B-S'!C63</f>
        <v>31.822</v>
      </c>
      <c r="AT177" s="324"/>
    </row>
    <row r="178" customFormat="false" ht="12.75" hidden="false" customHeight="false" outlineLevel="0" collapsed="false">
      <c r="A178" s="0" t="s">
        <v>834</v>
      </c>
      <c r="G178" s="324"/>
      <c r="I178" s="774" t="n">
        <v>0</v>
      </c>
      <c r="J178" s="775" t="n">
        <v>1219.778</v>
      </c>
      <c r="K178" s="370"/>
      <c r="L178" s="370"/>
      <c r="M178" s="671"/>
      <c r="N178" s="760"/>
      <c r="O178" s="671"/>
      <c r="P178" s="324"/>
      <c r="Q178" s="324"/>
      <c r="R178" s="324"/>
      <c r="T178" s="774" t="n">
        <v>0</v>
      </c>
      <c r="U178" s="775" t="n">
        <v>1025.659</v>
      </c>
      <c r="V178" s="370"/>
      <c r="W178" s="370"/>
      <c r="X178" s="671"/>
      <c r="Y178" s="708"/>
      <c r="Z178" s="671"/>
      <c r="AA178" s="671"/>
      <c r="AB178" s="324"/>
      <c r="AP178" s="324"/>
      <c r="AQ178" s="324"/>
      <c r="AR178" s="776" t="n">
        <v>0</v>
      </c>
      <c r="AS178" s="775" t="n">
        <f aca="false">'Corp I-S&amp;B-S'!C60</f>
        <v>2723.483</v>
      </c>
      <c r="AT178" s="324"/>
    </row>
    <row r="179" customFormat="false" ht="12.75" hidden="false" customHeight="false" outlineLevel="0" collapsed="false">
      <c r="B179" s="0" t="s">
        <v>835</v>
      </c>
      <c r="G179" s="324"/>
      <c r="I179" s="324" t="n">
        <f aca="false">SUM(I176:I178)</f>
        <v>0</v>
      </c>
      <c r="J179" s="324" t="n">
        <f aca="false">SUM(J176:J178)</f>
        <v>1625.517</v>
      </c>
      <c r="K179" s="324"/>
      <c r="L179" s="324"/>
      <c r="M179" s="451"/>
      <c r="N179" s="698"/>
      <c r="O179" s="451"/>
      <c r="P179" s="324"/>
      <c r="Q179" s="324"/>
      <c r="R179" s="324"/>
      <c r="T179" s="324" t="n">
        <f aca="false">SUM(T176:T178)</f>
        <v>0</v>
      </c>
      <c r="U179" s="324" t="n">
        <f aca="false">SUM(U176:U178)</f>
        <v>1233.126</v>
      </c>
      <c r="V179" s="324"/>
      <c r="W179" s="324"/>
      <c r="X179" s="451"/>
      <c r="Y179" s="658"/>
      <c r="Z179" s="451"/>
      <c r="AA179" s="451"/>
      <c r="AB179" s="324"/>
      <c r="AP179" s="324"/>
      <c r="AQ179" s="324"/>
      <c r="AR179" s="324" t="n">
        <f aca="false">SUM(AR176:AR178)</f>
        <v>0</v>
      </c>
      <c r="AS179" s="324" t="n">
        <f aca="false">SUM(AS176:AS178)</f>
        <v>3119.085</v>
      </c>
      <c r="AT179" s="324"/>
    </row>
    <row r="180" customFormat="false" ht="12.75" hidden="false" customHeight="false" outlineLevel="0" collapsed="false">
      <c r="F180" s="0" t="s">
        <v>836</v>
      </c>
      <c r="G180" s="324"/>
      <c r="I180" s="324"/>
      <c r="J180" s="324"/>
      <c r="K180" s="324"/>
      <c r="L180" s="324"/>
      <c r="M180" s="451"/>
      <c r="N180" s="698"/>
      <c r="O180" s="451"/>
      <c r="P180" s="324"/>
      <c r="Q180" s="324"/>
      <c r="R180" s="324"/>
      <c r="T180" s="324"/>
      <c r="U180" s="324"/>
      <c r="V180" s="324"/>
      <c r="W180" s="324"/>
      <c r="X180" s="451"/>
      <c r="Y180" s="658"/>
      <c r="Z180" s="451"/>
      <c r="AA180" s="451"/>
      <c r="AB180" s="324"/>
      <c r="AP180" s="324"/>
      <c r="AQ180" s="324"/>
      <c r="AR180" s="451"/>
      <c r="AS180" s="324"/>
      <c r="AT180" s="324"/>
    </row>
    <row r="181" customFormat="false" ht="12.75" hidden="false" customHeight="false" outlineLevel="0" collapsed="false">
      <c r="A181" s="0" t="s">
        <v>837</v>
      </c>
      <c r="G181" s="324"/>
      <c r="I181" s="324" t="n">
        <v>0</v>
      </c>
      <c r="J181" s="658" t="n">
        <v>0</v>
      </c>
      <c r="K181" s="324"/>
      <c r="L181" s="324"/>
      <c r="M181" s="451"/>
      <c r="N181" s="698"/>
      <c r="O181" s="451"/>
      <c r="P181" s="324"/>
      <c r="Q181" s="324"/>
      <c r="R181" s="324"/>
      <c r="T181" s="324" t="n">
        <v>0</v>
      </c>
      <c r="U181" s="658" t="n">
        <v>0</v>
      </c>
      <c r="V181" s="324"/>
      <c r="W181" s="324"/>
      <c r="X181" s="451"/>
      <c r="Y181" s="658"/>
      <c r="Z181" s="451"/>
      <c r="AA181" s="451"/>
      <c r="AB181" s="324"/>
      <c r="AP181" s="324"/>
      <c r="AQ181" s="324"/>
      <c r="AR181" s="451" t="n">
        <v>0</v>
      </c>
      <c r="AS181" s="324" t="n">
        <f aca="false">AG181+U181+J181</f>
        <v>0</v>
      </c>
      <c r="AT181" s="324"/>
    </row>
    <row r="182" customFormat="false" ht="12.75" hidden="false" customHeight="false" outlineLevel="0" collapsed="false">
      <c r="A182" s="0" t="s">
        <v>838</v>
      </c>
      <c r="G182" s="324"/>
      <c r="I182" s="774" t="n">
        <v>0</v>
      </c>
      <c r="J182" s="775" t="n">
        <v>20.717</v>
      </c>
      <c r="K182" s="370"/>
      <c r="L182" s="370"/>
      <c r="M182" s="671"/>
      <c r="N182" s="760"/>
      <c r="O182" s="671"/>
      <c r="P182" s="324"/>
      <c r="Q182" s="324"/>
      <c r="R182" s="324"/>
      <c r="T182" s="774" t="n">
        <v>0</v>
      </c>
      <c r="U182" s="775" t="n">
        <v>71.923</v>
      </c>
      <c r="V182" s="370"/>
      <c r="W182" s="370"/>
      <c r="X182" s="671"/>
      <c r="Y182" s="708"/>
      <c r="Z182" s="671"/>
      <c r="AA182" s="671"/>
      <c r="AB182" s="324"/>
      <c r="AP182" s="324"/>
      <c r="AQ182" s="324"/>
      <c r="AR182" s="776" t="n">
        <v>0</v>
      </c>
      <c r="AS182" s="775" t="n">
        <f aca="false">'Corp I-S&amp;B-S'!C66</f>
        <v>0</v>
      </c>
      <c r="AT182" s="324"/>
    </row>
    <row r="183" customFormat="false" ht="12.75" hidden="false" customHeight="false" outlineLevel="0" collapsed="false">
      <c r="G183" s="324"/>
      <c r="I183" s="324" t="n">
        <f aca="false">SUM(I181:I182)</f>
        <v>0</v>
      </c>
      <c r="J183" s="324" t="n">
        <f aca="false">SUM(J181:J182)</f>
        <v>20.717</v>
      </c>
      <c r="K183" s="324"/>
      <c r="L183" s="324"/>
      <c r="M183" s="451"/>
      <c r="N183" s="698"/>
      <c r="O183" s="451"/>
      <c r="P183" s="324"/>
      <c r="Q183" s="324"/>
      <c r="R183" s="324"/>
      <c r="T183" s="324" t="n">
        <f aca="false">SUM(T181:T182)</f>
        <v>0</v>
      </c>
      <c r="U183" s="324" t="n">
        <f aca="false">SUM(U181:U182)</f>
        <v>71.923</v>
      </c>
      <c r="V183" s="324"/>
      <c r="W183" s="324"/>
      <c r="X183" s="451"/>
      <c r="Y183" s="658"/>
      <c r="Z183" s="451"/>
      <c r="AA183" s="451"/>
      <c r="AB183" s="324"/>
      <c r="AP183" s="324"/>
      <c r="AQ183" s="324"/>
      <c r="AR183" s="324" t="n">
        <f aca="false">SUM(AR181:AR182)</f>
        <v>0</v>
      </c>
      <c r="AS183" s="324" t="n">
        <f aca="false">SUM(AS181:AS182)</f>
        <v>0</v>
      </c>
      <c r="AT183" s="324"/>
    </row>
    <row r="184" customFormat="false" ht="12.75" hidden="false" customHeight="false" outlineLevel="0" collapsed="false">
      <c r="G184" s="324"/>
      <c r="I184" s="324"/>
      <c r="J184" s="324"/>
      <c r="K184" s="324"/>
      <c r="L184" s="324"/>
      <c r="M184" s="451"/>
      <c r="N184" s="698"/>
      <c r="O184" s="451"/>
      <c r="P184" s="324"/>
      <c r="Q184" s="324"/>
      <c r="R184" s="324"/>
      <c r="T184" s="324"/>
      <c r="U184" s="324"/>
      <c r="V184" s="324"/>
      <c r="W184" s="324"/>
      <c r="X184" s="451"/>
      <c r="Y184" s="658"/>
      <c r="Z184" s="451"/>
      <c r="AA184" s="451"/>
      <c r="AB184" s="324"/>
      <c r="AP184" s="324"/>
      <c r="AQ184" s="324"/>
      <c r="AR184" s="451"/>
      <c r="AS184" s="324"/>
      <c r="AT184" s="324"/>
    </row>
    <row r="185" customFormat="false" ht="12.75" hidden="false" customHeight="false" outlineLevel="0" collapsed="false">
      <c r="B185" s="0" t="s">
        <v>839</v>
      </c>
      <c r="G185" s="324"/>
      <c r="I185" s="324"/>
      <c r="J185" s="324" t="n">
        <f aca="false">J183+J179</f>
        <v>1646.234</v>
      </c>
      <c r="K185" s="324"/>
      <c r="L185" s="324"/>
      <c r="M185" s="451"/>
      <c r="N185" s="698"/>
      <c r="O185" s="451"/>
      <c r="P185" s="324"/>
      <c r="Q185" s="324"/>
      <c r="R185" s="324"/>
      <c r="T185" s="324"/>
      <c r="U185" s="324" t="n">
        <f aca="false">U183+U179</f>
        <v>1305.049</v>
      </c>
      <c r="V185" s="324"/>
      <c r="W185" s="324"/>
      <c r="X185" s="451"/>
      <c r="Y185" s="658"/>
      <c r="Z185" s="451"/>
      <c r="AA185" s="451"/>
      <c r="AB185" s="324"/>
      <c r="AP185" s="324"/>
      <c r="AQ185" s="324"/>
      <c r="AR185" s="451"/>
      <c r="AS185" s="324" t="n">
        <f aca="false">AS183+AS179</f>
        <v>3119.085</v>
      </c>
      <c r="AT185" s="324"/>
    </row>
    <row r="186" customFormat="false" ht="12.75" hidden="false" customHeight="false" outlineLevel="0" collapsed="false">
      <c r="G186" s="324"/>
      <c r="I186" s="324"/>
      <c r="J186" s="324"/>
      <c r="K186" s="324"/>
      <c r="L186" s="324"/>
      <c r="M186" s="451"/>
      <c r="N186" s="698"/>
      <c r="O186" s="451"/>
      <c r="P186" s="324"/>
      <c r="Q186" s="324"/>
      <c r="R186" s="324"/>
      <c r="T186" s="324"/>
      <c r="U186" s="324"/>
      <c r="V186" s="324"/>
      <c r="W186" s="324"/>
      <c r="X186" s="451"/>
      <c r="Y186" s="658"/>
      <c r="Z186" s="451"/>
      <c r="AA186" s="451"/>
      <c r="AB186" s="324"/>
      <c r="AP186" s="324"/>
      <c r="AQ186" s="324"/>
      <c r="AR186" s="451"/>
      <c r="AS186" s="324"/>
      <c r="AT186" s="324"/>
    </row>
    <row r="187" customFormat="false" ht="12.75" hidden="false" customHeight="false" outlineLevel="0" collapsed="false">
      <c r="A187" s="0" t="s">
        <v>509</v>
      </c>
      <c r="G187" s="324"/>
      <c r="I187" s="324"/>
      <c r="J187" s="775" t="n">
        <v>26.989</v>
      </c>
      <c r="K187" s="370"/>
      <c r="L187" s="370"/>
      <c r="M187" s="671"/>
      <c r="N187" s="760"/>
      <c r="O187" s="671"/>
      <c r="P187" s="324"/>
      <c r="Q187" s="324"/>
      <c r="R187" s="324"/>
      <c r="T187" s="324"/>
      <c r="U187" s="775" t="n">
        <v>18.788</v>
      </c>
      <c r="V187" s="370"/>
      <c r="W187" s="370"/>
      <c r="X187" s="671"/>
      <c r="Y187" s="708"/>
      <c r="Z187" s="671"/>
      <c r="AA187" s="671"/>
      <c r="AB187" s="324"/>
      <c r="AP187" s="324"/>
      <c r="AQ187" s="324"/>
      <c r="AR187" s="451"/>
      <c r="AS187" s="775" t="n">
        <f aca="false">'Corp I-S&amp;B-S'!C68</f>
        <v>57.486</v>
      </c>
      <c r="AT187" s="324"/>
    </row>
    <row r="188" customFormat="false" ht="12.75" hidden="false" customHeight="false" outlineLevel="0" collapsed="false">
      <c r="B188" s="0" t="s">
        <v>510</v>
      </c>
      <c r="G188" s="324"/>
      <c r="I188" s="324"/>
      <c r="J188" s="324" t="n">
        <f aca="false">J185-J187</f>
        <v>1619.245</v>
      </c>
      <c r="K188" s="324"/>
      <c r="L188" s="324"/>
      <c r="M188" s="451"/>
      <c r="N188" s="698"/>
      <c r="O188" s="451"/>
      <c r="P188" s="324"/>
      <c r="Q188" s="324"/>
      <c r="R188" s="324"/>
      <c r="T188" s="324"/>
      <c r="U188" s="324" t="n">
        <f aca="false">U185-U187</f>
        <v>1286.261</v>
      </c>
      <c r="V188" s="324"/>
      <c r="W188" s="324"/>
      <c r="X188" s="451"/>
      <c r="Y188" s="658"/>
      <c r="Z188" s="451"/>
      <c r="AA188" s="451"/>
      <c r="AB188" s="324"/>
      <c r="AP188" s="324"/>
      <c r="AQ188" s="324"/>
      <c r="AR188" s="451"/>
      <c r="AS188" s="324" t="n">
        <f aca="false">'Corp I-S&amp;B-S'!C71</f>
        <v>3549.599</v>
      </c>
      <c r="AT188" s="324"/>
    </row>
    <row r="189" customFormat="false" ht="12.75" hidden="false" customHeight="false" outlineLevel="0" collapsed="false">
      <c r="G189" s="324"/>
      <c r="I189" s="324"/>
      <c r="J189" s="324"/>
      <c r="K189" s="324"/>
      <c r="L189" s="324"/>
      <c r="M189" s="451"/>
      <c r="N189" s="698"/>
      <c r="O189" s="451"/>
      <c r="P189" s="324"/>
      <c r="Q189" s="324"/>
      <c r="R189" s="324"/>
      <c r="S189" s="324"/>
      <c r="T189" s="324"/>
      <c r="U189" s="324"/>
      <c r="V189" s="324"/>
      <c r="W189" s="324"/>
      <c r="X189" s="451"/>
      <c r="Y189" s="658"/>
      <c r="Z189" s="451"/>
      <c r="AA189" s="451"/>
      <c r="AB189" s="324"/>
      <c r="AP189" s="324"/>
      <c r="AQ189" s="324"/>
      <c r="AR189" s="451"/>
      <c r="AS189" s="324"/>
      <c r="AT189" s="324"/>
    </row>
    <row r="190" customFormat="false" ht="12.75" hidden="false" customHeight="false" outlineLevel="0" collapsed="false">
      <c r="A190" s="28" t="s">
        <v>311</v>
      </c>
      <c r="G190" s="324"/>
      <c r="I190" s="324"/>
      <c r="J190" s="772" t="n">
        <f aca="false">J191*J194</f>
        <v>3890.6</v>
      </c>
      <c r="K190" s="324"/>
      <c r="L190" s="324"/>
      <c r="M190" s="451"/>
      <c r="N190" s="698"/>
      <c r="O190" s="451"/>
      <c r="P190" s="324"/>
      <c r="Q190" s="324"/>
      <c r="R190" s="324"/>
      <c r="S190" s="324"/>
      <c r="T190" s="324"/>
      <c r="U190" s="772" t="n">
        <f aca="false">U191*U194</f>
        <v>3890.6</v>
      </c>
      <c r="V190" s="324"/>
      <c r="W190" s="324"/>
      <c r="X190" s="451"/>
      <c r="Y190" s="658"/>
      <c r="Z190" s="451"/>
      <c r="AA190" s="451"/>
      <c r="AB190" s="324"/>
      <c r="AP190" s="324"/>
      <c r="AQ190" s="324"/>
      <c r="AR190" s="451"/>
      <c r="AS190" s="772" t="n">
        <f aca="false">AS191*AS194</f>
        <v>4565.5</v>
      </c>
    </row>
    <row r="191" customFormat="false" ht="12.75" hidden="false" customHeight="false" outlineLevel="0" collapsed="false">
      <c r="A191" s="0" t="s">
        <v>254</v>
      </c>
      <c r="G191" s="324"/>
      <c r="I191" s="324"/>
      <c r="J191" s="729" t="n">
        <v>158.8</v>
      </c>
      <c r="K191" s="324"/>
      <c r="L191" s="324"/>
      <c r="M191" s="451"/>
      <c r="N191" s="698"/>
      <c r="O191" s="451"/>
      <c r="P191" s="324"/>
      <c r="Q191" s="324"/>
      <c r="R191" s="324"/>
      <c r="S191" s="324"/>
      <c r="T191" s="324"/>
      <c r="U191" s="729" t="n">
        <v>158.8</v>
      </c>
      <c r="V191" s="324"/>
      <c r="W191" s="324"/>
      <c r="X191" s="451"/>
      <c r="Y191" s="658"/>
      <c r="Z191" s="451"/>
      <c r="AA191" s="451"/>
      <c r="AB191" s="324"/>
      <c r="AP191" s="324"/>
      <c r="AQ191" s="324"/>
      <c r="AR191" s="451"/>
      <c r="AS191" s="729" t="n">
        <v>158.8</v>
      </c>
    </row>
    <row r="192" customFormat="false" ht="12.75" hidden="false" customHeight="false" outlineLevel="0" collapsed="false">
      <c r="A192" s="0" t="s">
        <v>840</v>
      </c>
      <c r="G192" s="324"/>
      <c r="I192" s="324"/>
      <c r="J192" s="369"/>
      <c r="K192" s="324"/>
      <c r="L192" s="324"/>
      <c r="M192" s="451"/>
      <c r="N192" s="698"/>
      <c r="O192" s="451"/>
      <c r="P192" s="324"/>
      <c r="Q192" s="324"/>
      <c r="R192" s="324"/>
      <c r="S192" s="324"/>
      <c r="T192" s="324"/>
      <c r="U192" s="369"/>
      <c r="V192" s="324"/>
      <c r="W192" s="324"/>
      <c r="X192" s="451"/>
      <c r="Y192" s="658"/>
      <c r="Z192" s="451"/>
      <c r="AA192" s="451"/>
      <c r="AB192" s="324"/>
      <c r="AP192" s="324"/>
      <c r="AQ192" s="324"/>
      <c r="AR192" s="451"/>
      <c r="AS192" s="369"/>
    </row>
    <row r="193" customFormat="false" ht="12.75" hidden="false" customHeight="false" outlineLevel="0" collapsed="false">
      <c r="G193" s="324"/>
      <c r="I193" s="324"/>
      <c r="J193" s="369"/>
      <c r="K193" s="324"/>
      <c r="L193" s="324"/>
      <c r="M193" s="451"/>
      <c r="N193" s="698"/>
      <c r="O193" s="451"/>
      <c r="P193" s="324"/>
      <c r="Q193" s="324"/>
      <c r="R193" s="324"/>
      <c r="S193" s="324"/>
      <c r="T193" s="324"/>
      <c r="U193" s="369"/>
      <c r="V193" s="324"/>
      <c r="W193" s="324"/>
      <c r="X193" s="451"/>
      <c r="Y193" s="658"/>
      <c r="Z193" s="451"/>
      <c r="AA193" s="451"/>
      <c r="AB193" s="324"/>
      <c r="AP193" s="324"/>
      <c r="AQ193" s="324"/>
      <c r="AR193" s="451"/>
      <c r="AS193" s="369"/>
    </row>
    <row r="194" customFormat="false" ht="12.75" hidden="false" customHeight="false" outlineLevel="0" collapsed="false">
      <c r="A194" s="0" t="s">
        <v>251</v>
      </c>
      <c r="G194" s="324"/>
      <c r="I194" s="324"/>
      <c r="J194" s="729" t="n">
        <v>24.5</v>
      </c>
      <c r="K194" s="324"/>
      <c r="L194" s="324"/>
      <c r="M194" s="451"/>
      <c r="N194" s="698"/>
      <c r="O194" s="451"/>
      <c r="P194" s="324"/>
      <c r="Q194" s="324"/>
      <c r="R194" s="324"/>
      <c r="S194" s="324"/>
      <c r="T194" s="324"/>
      <c r="U194" s="729" t="n">
        <f aca="false">J194</f>
        <v>24.5</v>
      </c>
      <c r="V194" s="324"/>
      <c r="W194" s="324"/>
      <c r="X194" s="451"/>
      <c r="Y194" s="658"/>
      <c r="Z194" s="451"/>
      <c r="AA194" s="451"/>
      <c r="AB194" s="324"/>
      <c r="AP194" s="324"/>
      <c r="AQ194" s="324"/>
      <c r="AR194" s="451"/>
      <c r="AS194" s="729" t="n">
        <v>28.75</v>
      </c>
    </row>
    <row r="195" customFormat="false" ht="12.75" hidden="false" customHeight="false" outlineLevel="0" collapsed="false">
      <c r="A195" s="0" t="s">
        <v>841</v>
      </c>
      <c r="G195" s="324"/>
      <c r="I195" s="324"/>
      <c r="J195" s="369"/>
      <c r="K195" s="324"/>
      <c r="L195" s="324"/>
      <c r="M195" s="451"/>
      <c r="N195" s="777"/>
      <c r="O195" s="451"/>
      <c r="P195" s="324"/>
      <c r="Q195" s="324"/>
      <c r="R195" s="324"/>
      <c r="S195" s="324"/>
      <c r="T195" s="324"/>
      <c r="U195" s="369"/>
      <c r="V195" s="324"/>
      <c r="W195" s="324"/>
      <c r="X195" s="451"/>
      <c r="Y195" s="658"/>
      <c r="Z195" s="451"/>
      <c r="AA195" s="451"/>
      <c r="AB195" s="324"/>
      <c r="AP195" s="324"/>
      <c r="AQ195" s="324"/>
      <c r="AR195" s="451"/>
      <c r="AS195" s="369"/>
    </row>
    <row r="196" customFormat="false" ht="12.75" hidden="false" customHeight="false" outlineLevel="0" collapsed="false">
      <c r="J196" s="369"/>
      <c r="N196" s="778"/>
      <c r="U196" s="369"/>
      <c r="Y196" s="436"/>
      <c r="AS196" s="369"/>
    </row>
    <row r="197" customFormat="false" ht="12.75" hidden="false" customHeight="false" outlineLevel="0" collapsed="false">
      <c r="A197" s="0" t="s">
        <v>842</v>
      </c>
      <c r="J197" s="716" t="n">
        <f aca="false">J190+J188</f>
        <v>5509.845</v>
      </c>
      <c r="N197" s="778"/>
      <c r="U197" s="716" t="n">
        <f aca="false">U190+U188</f>
        <v>5176.861</v>
      </c>
      <c r="Y197" s="436"/>
      <c r="AS197" s="716" t="n">
        <f aca="false">AS190+AS188</f>
        <v>8115.099</v>
      </c>
    </row>
    <row r="198" customFormat="false" ht="12.75" hidden="false" customHeight="false" outlineLevel="0" collapsed="false">
      <c r="A198" s="0" t="s">
        <v>843</v>
      </c>
      <c r="N198" s="28"/>
      <c r="Y198" s="436"/>
    </row>
    <row r="199" customFormat="false" ht="12.75" hidden="false" customHeight="false" outlineLevel="0" collapsed="false">
      <c r="Y199" s="436"/>
    </row>
    <row r="200" customFormat="false" ht="12.75" hidden="false" customHeight="false" outlineLevel="0" collapsed="false">
      <c r="F200" s="0" t="s">
        <v>844</v>
      </c>
      <c r="Y200" s="436"/>
    </row>
    <row r="201" customFormat="false" ht="12.75" hidden="false" customHeight="false" outlineLevel="0" collapsed="false">
      <c r="F201" s="0" t="s">
        <v>845</v>
      </c>
      <c r="Y201" s="436"/>
    </row>
    <row r="202" customFormat="false" ht="12.75" hidden="false" customHeight="false" outlineLevel="0" collapsed="false">
      <c r="Y202" s="436"/>
    </row>
    <row r="203" customFormat="false" ht="12.75" hidden="false" customHeight="false" outlineLevel="0" collapsed="false">
      <c r="Y203" s="436"/>
    </row>
    <row r="204" customFormat="false" ht="12.75" hidden="false" customHeight="false" outlineLevel="0" collapsed="false">
      <c r="Y204" s="436"/>
    </row>
    <row r="205" customFormat="false" ht="12.75" hidden="false" customHeight="false" outlineLevel="0" collapsed="false">
      <c r="Y205" s="436"/>
    </row>
    <row r="206" customFormat="false" ht="12.75" hidden="false" customHeight="false" outlineLevel="0" collapsed="false">
      <c r="Y206" s="436"/>
    </row>
    <row r="207" customFormat="false" ht="12.75" hidden="false" customHeight="false" outlineLevel="0" collapsed="false">
      <c r="G207" s="324"/>
      <c r="H207" s="324"/>
      <c r="I207" s="324"/>
      <c r="J207" s="324"/>
      <c r="K207" s="324"/>
      <c r="L207" s="324"/>
      <c r="M207" s="451"/>
      <c r="N207" s="451"/>
      <c r="O207" s="451"/>
      <c r="P207" s="324"/>
      <c r="Q207" s="324"/>
      <c r="R207" s="324"/>
      <c r="S207" s="324"/>
      <c r="T207" s="324"/>
      <c r="U207" s="324"/>
      <c r="V207" s="324"/>
      <c r="W207" s="324"/>
      <c r="X207" s="451"/>
      <c r="Y207" s="658"/>
      <c r="Z207" s="451"/>
      <c r="AA207" s="451"/>
      <c r="AB207" s="324"/>
      <c r="AP207" s="324"/>
      <c r="AQ207" s="324"/>
      <c r="AR207" s="451"/>
      <c r="AS207" s="324"/>
    </row>
    <row r="208" customFormat="false" ht="12.75" hidden="false" customHeight="false" outlineLevel="0" collapsed="false">
      <c r="G208" s="324"/>
      <c r="H208" s="324"/>
      <c r="I208" s="324"/>
      <c r="J208" s="324"/>
      <c r="K208" s="324"/>
      <c r="L208" s="324"/>
      <c r="M208" s="451"/>
      <c r="N208" s="451"/>
      <c r="O208" s="451"/>
      <c r="P208" s="324"/>
      <c r="Q208" s="324"/>
      <c r="R208" s="324"/>
      <c r="S208" s="324"/>
      <c r="T208" s="324"/>
      <c r="U208" s="324"/>
      <c r="V208" s="324"/>
      <c r="W208" s="324"/>
      <c r="X208" s="451"/>
      <c r="Y208" s="658"/>
      <c r="Z208" s="451"/>
      <c r="AA208" s="451"/>
      <c r="AB208" s="324"/>
      <c r="AP208" s="324"/>
      <c r="AQ208" s="324"/>
      <c r="AR208" s="451"/>
      <c r="AS208" s="324"/>
    </row>
    <row r="209" customFormat="false" ht="12.75" hidden="false" customHeight="false" outlineLevel="0" collapsed="false">
      <c r="G209" s="324"/>
      <c r="H209" s="324"/>
      <c r="I209" s="324"/>
      <c r="J209" s="324"/>
      <c r="K209" s="324"/>
      <c r="L209" s="324"/>
      <c r="M209" s="451"/>
      <c r="N209" s="451"/>
      <c r="O209" s="451"/>
      <c r="P209" s="324"/>
      <c r="Q209" s="324"/>
      <c r="R209" s="324"/>
      <c r="S209" s="324"/>
      <c r="T209" s="324"/>
      <c r="U209" s="324"/>
      <c r="V209" s="324"/>
      <c r="W209" s="324"/>
      <c r="X209" s="451"/>
      <c r="Y209" s="658"/>
      <c r="Z209" s="451"/>
      <c r="AA209" s="451"/>
      <c r="AB209" s="324"/>
      <c r="AP209" s="324"/>
      <c r="AQ209" s="324"/>
      <c r="AR209" s="451"/>
      <c r="AS209" s="324"/>
    </row>
    <row r="210" customFormat="false" ht="12.75" hidden="false" customHeight="false" outlineLevel="0" collapsed="false">
      <c r="G210" s="324"/>
      <c r="H210" s="324"/>
      <c r="I210" s="324"/>
      <c r="J210" s="324"/>
      <c r="K210" s="324"/>
      <c r="L210" s="324"/>
      <c r="M210" s="451"/>
      <c r="N210" s="451"/>
      <c r="O210" s="451"/>
      <c r="P210" s="324"/>
      <c r="Q210" s="324"/>
      <c r="R210" s="324"/>
      <c r="S210" s="324"/>
      <c r="T210" s="324"/>
      <c r="U210" s="324"/>
      <c r="V210" s="324"/>
      <c r="W210" s="324"/>
      <c r="X210" s="451"/>
      <c r="Y210" s="658"/>
      <c r="Z210" s="451"/>
      <c r="AA210" s="451"/>
      <c r="AB210" s="324"/>
      <c r="AP210" s="324"/>
      <c r="AQ210" s="324"/>
      <c r="AR210" s="451"/>
      <c r="AS210" s="324"/>
    </row>
    <row r="211" customFormat="false" ht="12.75" hidden="false" customHeight="false" outlineLevel="0" collapsed="false">
      <c r="G211" s="324"/>
      <c r="H211" s="324"/>
      <c r="I211" s="324"/>
      <c r="J211" s="324"/>
      <c r="K211" s="324"/>
      <c r="L211" s="324"/>
      <c r="M211" s="451"/>
      <c r="N211" s="451"/>
      <c r="O211" s="451"/>
      <c r="P211" s="324"/>
      <c r="Q211" s="324"/>
      <c r="R211" s="324"/>
      <c r="S211" s="324"/>
      <c r="T211" s="324"/>
      <c r="U211" s="324"/>
      <c r="V211" s="324"/>
      <c r="W211" s="324"/>
      <c r="X211" s="451"/>
      <c r="Y211" s="658"/>
      <c r="Z211" s="451"/>
      <c r="AA211" s="451"/>
      <c r="AB211" s="324"/>
      <c r="AP211" s="324"/>
      <c r="AQ211" s="324"/>
      <c r="AR211" s="451"/>
      <c r="AS211" s="324"/>
    </row>
    <row r="212" customFormat="false" ht="12.75" hidden="false" customHeight="false" outlineLevel="0" collapsed="false">
      <c r="G212" s="324"/>
      <c r="H212" s="324"/>
      <c r="I212" s="324"/>
      <c r="J212" s="324"/>
      <c r="K212" s="324"/>
      <c r="L212" s="324"/>
      <c r="M212" s="451"/>
      <c r="N212" s="451"/>
      <c r="O212" s="451"/>
      <c r="P212" s="324"/>
      <c r="Q212" s="324"/>
      <c r="R212" s="324"/>
      <c r="S212" s="324"/>
      <c r="T212" s="324"/>
      <c r="U212" s="324"/>
      <c r="V212" s="324"/>
      <c r="W212" s="324"/>
      <c r="X212" s="451"/>
      <c r="Y212" s="658"/>
      <c r="Z212" s="451"/>
      <c r="AA212" s="451"/>
      <c r="AB212" s="324"/>
      <c r="AP212" s="324"/>
      <c r="AQ212" s="324"/>
      <c r="AR212" s="451"/>
      <c r="AS212" s="324"/>
    </row>
    <row r="213" customFormat="false" ht="12.75" hidden="false" customHeight="false" outlineLevel="0" collapsed="false">
      <c r="G213" s="324"/>
      <c r="H213" s="324"/>
      <c r="I213" s="324"/>
      <c r="J213" s="324"/>
      <c r="K213" s="324"/>
      <c r="L213" s="324"/>
      <c r="M213" s="451"/>
      <c r="N213" s="451"/>
      <c r="O213" s="451"/>
      <c r="P213" s="324"/>
      <c r="Q213" s="324"/>
      <c r="R213" s="324"/>
      <c r="S213" s="324"/>
      <c r="T213" s="324"/>
      <c r="U213" s="324"/>
      <c r="V213" s="324"/>
      <c r="W213" s="324"/>
      <c r="X213" s="451"/>
      <c r="Y213" s="658"/>
      <c r="Z213" s="451"/>
      <c r="AA213" s="451"/>
      <c r="AB213" s="324"/>
      <c r="AP213" s="324"/>
      <c r="AQ213" s="324"/>
      <c r="AR213" s="451"/>
      <c r="AS213" s="324"/>
    </row>
    <row r="214" customFormat="false" ht="12.75" hidden="false" customHeight="false" outlineLevel="0" collapsed="false">
      <c r="G214" s="324"/>
      <c r="H214" s="324"/>
      <c r="I214" s="324"/>
      <c r="J214" s="324"/>
      <c r="K214" s="324"/>
      <c r="L214" s="324"/>
      <c r="M214" s="451"/>
      <c r="N214" s="451"/>
      <c r="O214" s="451"/>
      <c r="P214" s="324"/>
      <c r="Q214" s="324"/>
      <c r="R214" s="324"/>
      <c r="S214" s="324"/>
      <c r="T214" s="324"/>
      <c r="U214" s="324"/>
      <c r="V214" s="324"/>
      <c r="W214" s="324"/>
      <c r="X214" s="451"/>
      <c r="Y214" s="658"/>
      <c r="Z214" s="451"/>
      <c r="AA214" s="451"/>
      <c r="AB214" s="324"/>
      <c r="AP214" s="324"/>
      <c r="AQ214" s="324"/>
      <c r="AR214" s="451"/>
      <c r="AS214" s="324"/>
    </row>
    <row r="215" customFormat="false" ht="12.75" hidden="false" customHeight="false" outlineLevel="0" collapsed="false">
      <c r="G215" s="324"/>
      <c r="H215" s="324"/>
      <c r="I215" s="324"/>
      <c r="J215" s="324"/>
      <c r="K215" s="324"/>
      <c r="L215" s="324"/>
      <c r="M215" s="451"/>
      <c r="N215" s="451"/>
      <c r="O215" s="451"/>
      <c r="P215" s="324"/>
      <c r="Q215" s="324"/>
      <c r="R215" s="324"/>
      <c r="S215" s="324"/>
      <c r="T215" s="324"/>
      <c r="U215" s="324"/>
      <c r="V215" s="324"/>
      <c r="W215" s="324"/>
      <c r="X215" s="451"/>
      <c r="Y215" s="658"/>
      <c r="Z215" s="451"/>
      <c r="AA215" s="451"/>
      <c r="AB215" s="324"/>
      <c r="AP215" s="324"/>
      <c r="AQ215" s="324"/>
      <c r="AR215" s="451"/>
      <c r="AS215" s="324"/>
    </row>
    <row r="216" customFormat="false" ht="12.75" hidden="false" customHeight="false" outlineLevel="0" collapsed="false">
      <c r="G216" s="324"/>
      <c r="H216" s="324"/>
      <c r="I216" s="324"/>
      <c r="J216" s="324"/>
      <c r="K216" s="324"/>
      <c r="L216" s="324"/>
      <c r="M216" s="451"/>
      <c r="N216" s="451"/>
      <c r="O216" s="451"/>
      <c r="P216" s="324"/>
      <c r="Q216" s="324"/>
      <c r="R216" s="324"/>
      <c r="S216" s="324"/>
      <c r="T216" s="324"/>
      <c r="U216" s="324"/>
      <c r="V216" s="324"/>
      <c r="W216" s="324"/>
      <c r="X216" s="451"/>
      <c r="Y216" s="658"/>
      <c r="Z216" s="451"/>
      <c r="AA216" s="451"/>
      <c r="AB216" s="324"/>
      <c r="AP216" s="324"/>
      <c r="AQ216" s="324"/>
      <c r="AR216" s="451"/>
      <c r="AS216" s="324"/>
    </row>
    <row r="217" customFormat="false" ht="12.75" hidden="false" customHeight="false" outlineLevel="0" collapsed="false">
      <c r="G217" s="324"/>
      <c r="H217" s="324"/>
      <c r="I217" s="324"/>
      <c r="J217" s="324"/>
      <c r="K217" s="324"/>
      <c r="L217" s="324"/>
      <c r="M217" s="451"/>
      <c r="N217" s="451"/>
      <c r="O217" s="451"/>
      <c r="P217" s="324"/>
      <c r="Q217" s="324"/>
      <c r="R217" s="324"/>
      <c r="S217" s="324"/>
      <c r="T217" s="324"/>
      <c r="U217" s="324"/>
      <c r="V217" s="324"/>
      <c r="W217" s="324"/>
      <c r="X217" s="451"/>
      <c r="Y217" s="658"/>
      <c r="Z217" s="451"/>
      <c r="AA217" s="451"/>
      <c r="AB217" s="324"/>
      <c r="AP217" s="324"/>
      <c r="AQ217" s="324"/>
      <c r="AR217" s="451"/>
      <c r="AS217" s="324"/>
    </row>
    <row r="218" customFormat="false" ht="12.75" hidden="false" customHeight="false" outlineLevel="0" collapsed="false">
      <c r="G218" s="324"/>
      <c r="H218" s="324"/>
      <c r="I218" s="324"/>
      <c r="J218" s="324"/>
      <c r="K218" s="324"/>
      <c r="L218" s="324"/>
      <c r="M218" s="451"/>
      <c r="N218" s="451"/>
      <c r="O218" s="451"/>
      <c r="P218" s="324"/>
      <c r="Q218" s="324"/>
      <c r="R218" s="324"/>
      <c r="S218" s="324"/>
      <c r="T218" s="324"/>
      <c r="U218" s="324"/>
      <c r="V218" s="324"/>
      <c r="W218" s="324"/>
      <c r="X218" s="451"/>
      <c r="Y218" s="658"/>
      <c r="Z218" s="451"/>
      <c r="AA218" s="451"/>
      <c r="AB218" s="324"/>
      <c r="AP218" s="324"/>
      <c r="AQ218" s="324"/>
      <c r="AR218" s="451"/>
      <c r="AS218" s="324"/>
    </row>
    <row r="219" customFormat="false" ht="12.75" hidden="false" customHeight="false" outlineLevel="0" collapsed="false">
      <c r="G219" s="324"/>
      <c r="H219" s="324"/>
      <c r="I219" s="324"/>
      <c r="J219" s="324"/>
      <c r="K219" s="324"/>
      <c r="L219" s="324"/>
      <c r="M219" s="451"/>
      <c r="N219" s="451"/>
      <c r="O219" s="451"/>
      <c r="P219" s="324"/>
      <c r="Q219" s="324"/>
      <c r="R219" s="324"/>
      <c r="S219" s="324"/>
      <c r="T219" s="324"/>
      <c r="U219" s="324"/>
      <c r="V219" s="324"/>
      <c r="W219" s="324"/>
      <c r="X219" s="451"/>
      <c r="Y219" s="658"/>
      <c r="Z219" s="451"/>
      <c r="AA219" s="451"/>
      <c r="AB219" s="324"/>
      <c r="AP219" s="324"/>
      <c r="AQ219" s="324"/>
      <c r="AR219" s="451"/>
      <c r="AS219" s="324"/>
    </row>
    <row r="220" customFormat="false" ht="12.75" hidden="false" customHeight="false" outlineLevel="0" collapsed="false">
      <c r="G220" s="324"/>
      <c r="H220" s="324"/>
      <c r="I220" s="324"/>
      <c r="J220" s="324"/>
      <c r="K220" s="324"/>
      <c r="L220" s="324"/>
      <c r="M220" s="451"/>
      <c r="N220" s="451"/>
      <c r="O220" s="451"/>
      <c r="P220" s="324"/>
      <c r="Q220" s="324"/>
      <c r="R220" s="324"/>
      <c r="S220" s="324"/>
      <c r="T220" s="324"/>
      <c r="U220" s="324"/>
      <c r="V220" s="324"/>
      <c r="W220" s="324"/>
      <c r="X220" s="451"/>
      <c r="Y220" s="658"/>
      <c r="Z220" s="451"/>
      <c r="AA220" s="451"/>
      <c r="AB220" s="324"/>
      <c r="AP220" s="324"/>
      <c r="AQ220" s="324"/>
      <c r="AR220" s="451"/>
      <c r="AS220" s="324"/>
    </row>
    <row r="221" customFormat="false" ht="12.75" hidden="false" customHeight="false" outlineLevel="0" collapsed="false">
      <c r="G221" s="324"/>
      <c r="H221" s="324"/>
      <c r="I221" s="324"/>
      <c r="J221" s="324"/>
      <c r="K221" s="324"/>
      <c r="L221" s="324"/>
      <c r="M221" s="451"/>
      <c r="N221" s="451"/>
      <c r="O221" s="451"/>
      <c r="P221" s="324"/>
      <c r="Q221" s="324"/>
      <c r="R221" s="324"/>
      <c r="S221" s="324"/>
      <c r="T221" s="324"/>
      <c r="U221" s="324"/>
      <c r="V221" s="324"/>
      <c r="W221" s="324"/>
      <c r="X221" s="451"/>
      <c r="Y221" s="658"/>
      <c r="Z221" s="451"/>
      <c r="AA221" s="451"/>
      <c r="AB221" s="324"/>
      <c r="AP221" s="324"/>
      <c r="AQ221" s="324"/>
      <c r="AR221" s="451"/>
      <c r="AS221" s="324"/>
    </row>
    <row r="222" customFormat="false" ht="12.75" hidden="false" customHeight="false" outlineLevel="0" collapsed="false">
      <c r="G222" s="324"/>
      <c r="H222" s="324"/>
      <c r="I222" s="324"/>
      <c r="J222" s="324"/>
      <c r="K222" s="324"/>
      <c r="L222" s="324"/>
      <c r="M222" s="451"/>
      <c r="N222" s="451"/>
      <c r="O222" s="451"/>
      <c r="P222" s="324"/>
      <c r="Q222" s="324"/>
      <c r="R222" s="324"/>
      <c r="S222" s="324"/>
      <c r="T222" s="324"/>
      <c r="U222" s="324"/>
      <c r="V222" s="324"/>
      <c r="W222" s="324"/>
      <c r="X222" s="451"/>
      <c r="Y222" s="658"/>
      <c r="Z222" s="451"/>
      <c r="AA222" s="451"/>
      <c r="AB222" s="324"/>
      <c r="AP222" s="324"/>
      <c r="AQ222" s="324"/>
      <c r="AR222" s="451"/>
      <c r="AS222" s="324"/>
    </row>
    <row r="223" customFormat="false" ht="12.75" hidden="false" customHeight="false" outlineLevel="0" collapsed="false">
      <c r="G223" s="324"/>
      <c r="H223" s="324"/>
      <c r="I223" s="324"/>
      <c r="J223" s="324"/>
      <c r="K223" s="324"/>
      <c r="L223" s="324"/>
      <c r="M223" s="451"/>
      <c r="N223" s="451"/>
      <c r="O223" s="451"/>
      <c r="P223" s="324"/>
      <c r="Q223" s="324"/>
      <c r="R223" s="324"/>
      <c r="S223" s="324"/>
      <c r="T223" s="324"/>
      <c r="U223" s="324"/>
      <c r="V223" s="324"/>
      <c r="W223" s="324"/>
      <c r="X223" s="451"/>
      <c r="Y223" s="658"/>
      <c r="Z223" s="451"/>
      <c r="AA223" s="451"/>
      <c r="AB223" s="324"/>
      <c r="AP223" s="324"/>
      <c r="AQ223" s="324"/>
      <c r="AR223" s="451"/>
      <c r="AS223" s="324"/>
    </row>
    <row r="224" customFormat="false" ht="12.75" hidden="false" customHeight="false" outlineLevel="0" collapsed="false">
      <c r="G224" s="324"/>
      <c r="H224" s="324"/>
      <c r="I224" s="324"/>
      <c r="J224" s="324"/>
      <c r="K224" s="324"/>
      <c r="L224" s="324"/>
      <c r="M224" s="451"/>
      <c r="N224" s="451"/>
      <c r="O224" s="451"/>
      <c r="P224" s="324"/>
      <c r="Q224" s="324"/>
      <c r="R224" s="324"/>
      <c r="S224" s="324"/>
      <c r="T224" s="324"/>
      <c r="U224" s="324"/>
      <c r="V224" s="324"/>
      <c r="W224" s="324"/>
      <c r="X224" s="451"/>
      <c r="Y224" s="658"/>
      <c r="Z224" s="451"/>
      <c r="AA224" s="451"/>
      <c r="AB224" s="324"/>
      <c r="AP224" s="324"/>
      <c r="AQ224" s="324"/>
      <c r="AR224" s="451"/>
      <c r="AS224" s="324"/>
    </row>
    <row r="225" customFormat="false" ht="12.75" hidden="false" customHeight="false" outlineLevel="0" collapsed="false">
      <c r="G225" s="324"/>
      <c r="H225" s="324"/>
      <c r="I225" s="324"/>
      <c r="J225" s="324"/>
      <c r="K225" s="324"/>
      <c r="L225" s="324"/>
      <c r="M225" s="451"/>
      <c r="N225" s="451"/>
      <c r="O225" s="451"/>
      <c r="P225" s="324"/>
      <c r="Q225" s="324"/>
      <c r="R225" s="324"/>
      <c r="S225" s="324"/>
      <c r="T225" s="324"/>
      <c r="U225" s="324"/>
      <c r="V225" s="324"/>
      <c r="W225" s="324"/>
      <c r="X225" s="451"/>
      <c r="Y225" s="658"/>
      <c r="Z225" s="451"/>
      <c r="AA225" s="451"/>
      <c r="AB225" s="324"/>
      <c r="AP225" s="324"/>
      <c r="AQ225" s="324"/>
      <c r="AR225" s="451"/>
      <c r="AS225" s="324"/>
    </row>
    <row r="226" customFormat="false" ht="12.75" hidden="false" customHeight="false" outlineLevel="0" collapsed="false">
      <c r="G226" s="324"/>
      <c r="H226" s="324"/>
      <c r="I226" s="324"/>
      <c r="J226" s="324"/>
      <c r="K226" s="324"/>
      <c r="L226" s="324"/>
      <c r="M226" s="451"/>
      <c r="N226" s="451"/>
      <c r="O226" s="451"/>
      <c r="P226" s="324"/>
      <c r="Q226" s="324"/>
      <c r="R226" s="324"/>
      <c r="S226" s="324"/>
      <c r="T226" s="324"/>
      <c r="U226" s="324"/>
      <c r="V226" s="324"/>
      <c r="W226" s="324"/>
      <c r="X226" s="451"/>
      <c r="Y226" s="658"/>
      <c r="Z226" s="451"/>
      <c r="AA226" s="451"/>
      <c r="AB226" s="324"/>
      <c r="AP226" s="324"/>
      <c r="AQ226" s="324"/>
      <c r="AR226" s="451"/>
      <c r="AS226" s="324"/>
    </row>
    <row r="227" customFormat="false" ht="12.75" hidden="false" customHeight="false" outlineLevel="0" collapsed="false">
      <c r="G227" s="324"/>
      <c r="H227" s="324"/>
      <c r="I227" s="324"/>
      <c r="J227" s="324"/>
      <c r="K227" s="324"/>
      <c r="L227" s="324"/>
      <c r="M227" s="451"/>
      <c r="N227" s="451"/>
      <c r="O227" s="451"/>
      <c r="P227" s="324"/>
      <c r="Q227" s="324"/>
      <c r="R227" s="324"/>
      <c r="S227" s="324"/>
      <c r="T227" s="324"/>
      <c r="U227" s="324"/>
      <c r="V227" s="324"/>
      <c r="W227" s="324"/>
      <c r="X227" s="451"/>
      <c r="Y227" s="658"/>
      <c r="Z227" s="451"/>
      <c r="AA227" s="451"/>
      <c r="AB227" s="324"/>
      <c r="AP227" s="324"/>
      <c r="AQ227" s="324"/>
      <c r="AR227" s="451"/>
      <c r="AS227" s="324"/>
    </row>
    <row r="228" customFormat="false" ht="12.75" hidden="false" customHeight="false" outlineLevel="0" collapsed="false">
      <c r="G228" s="324"/>
      <c r="H228" s="324"/>
      <c r="I228" s="324"/>
      <c r="J228" s="324"/>
      <c r="K228" s="324"/>
      <c r="L228" s="324"/>
      <c r="M228" s="451"/>
      <c r="N228" s="451"/>
      <c r="O228" s="451"/>
      <c r="P228" s="324"/>
      <c r="Q228" s="324"/>
      <c r="R228" s="324"/>
      <c r="S228" s="324"/>
      <c r="T228" s="324"/>
      <c r="U228" s="324"/>
      <c r="V228" s="324"/>
      <c r="W228" s="324"/>
      <c r="X228" s="451"/>
      <c r="Y228" s="658"/>
      <c r="Z228" s="451"/>
      <c r="AA228" s="451"/>
      <c r="AB228" s="324"/>
      <c r="AP228" s="324"/>
      <c r="AQ228" s="324"/>
      <c r="AR228" s="451"/>
      <c r="AS228" s="324"/>
    </row>
    <row r="229" customFormat="false" ht="12.75" hidden="false" customHeight="false" outlineLevel="0" collapsed="false">
      <c r="G229" s="324"/>
      <c r="H229" s="324"/>
      <c r="I229" s="324"/>
      <c r="J229" s="324"/>
      <c r="K229" s="324"/>
      <c r="L229" s="324"/>
      <c r="M229" s="451"/>
      <c r="N229" s="451"/>
      <c r="O229" s="451"/>
      <c r="P229" s="324"/>
      <c r="Q229" s="324"/>
      <c r="R229" s="324"/>
      <c r="S229" s="324"/>
      <c r="T229" s="324"/>
      <c r="U229" s="324"/>
      <c r="V229" s="324"/>
      <c r="W229" s="324"/>
      <c r="X229" s="451"/>
      <c r="Y229" s="658"/>
      <c r="Z229" s="451"/>
      <c r="AA229" s="451"/>
      <c r="AB229" s="324"/>
      <c r="AP229" s="324"/>
      <c r="AQ229" s="324"/>
      <c r="AR229" s="451"/>
      <c r="AS229" s="324"/>
    </row>
    <row r="230" customFormat="false" ht="12.75" hidden="false" customHeight="false" outlineLevel="0" collapsed="false">
      <c r="G230" s="324"/>
      <c r="H230" s="324"/>
      <c r="I230" s="324"/>
      <c r="J230" s="324"/>
      <c r="K230" s="324"/>
      <c r="L230" s="324"/>
      <c r="M230" s="451"/>
      <c r="N230" s="451"/>
      <c r="O230" s="451"/>
      <c r="P230" s="324"/>
      <c r="Q230" s="324"/>
      <c r="R230" s="324"/>
      <c r="S230" s="324"/>
      <c r="T230" s="324"/>
      <c r="U230" s="324"/>
      <c r="V230" s="324"/>
      <c r="W230" s="324"/>
      <c r="X230" s="451"/>
      <c r="Y230" s="658"/>
      <c r="Z230" s="451"/>
      <c r="AA230" s="451"/>
      <c r="AB230" s="324"/>
      <c r="AP230" s="324"/>
      <c r="AQ230" s="324"/>
      <c r="AR230" s="451"/>
      <c r="AS230" s="324"/>
    </row>
    <row r="231" customFormat="false" ht="12.75" hidden="false" customHeight="false" outlineLevel="0" collapsed="false">
      <c r="G231" s="324"/>
      <c r="H231" s="324"/>
      <c r="I231" s="324"/>
      <c r="J231" s="324"/>
      <c r="K231" s="324"/>
      <c r="L231" s="324"/>
      <c r="M231" s="451"/>
      <c r="N231" s="451"/>
      <c r="O231" s="451"/>
      <c r="P231" s="324"/>
      <c r="Q231" s="324"/>
      <c r="R231" s="324"/>
      <c r="S231" s="324"/>
      <c r="T231" s="324"/>
      <c r="U231" s="324"/>
      <c r="V231" s="324"/>
      <c r="W231" s="324"/>
      <c r="X231" s="451"/>
      <c r="Y231" s="658"/>
      <c r="Z231" s="451"/>
      <c r="AA231" s="451"/>
      <c r="AB231" s="324"/>
      <c r="AP231" s="324"/>
      <c r="AQ231" s="324"/>
      <c r="AR231" s="451"/>
      <c r="AS231" s="324"/>
    </row>
    <row r="232" customFormat="false" ht="12.75" hidden="false" customHeight="false" outlineLevel="0" collapsed="false">
      <c r="G232" s="324"/>
      <c r="H232" s="324"/>
      <c r="I232" s="324"/>
      <c r="J232" s="324"/>
      <c r="K232" s="324"/>
      <c r="L232" s="324"/>
      <c r="M232" s="451"/>
      <c r="N232" s="451"/>
      <c r="O232" s="451"/>
      <c r="P232" s="324"/>
      <c r="Q232" s="324"/>
      <c r="R232" s="324"/>
      <c r="S232" s="324"/>
      <c r="T232" s="324"/>
      <c r="U232" s="324"/>
      <c r="V232" s="324"/>
      <c r="W232" s="324"/>
      <c r="X232" s="451"/>
      <c r="Y232" s="658"/>
      <c r="Z232" s="451"/>
      <c r="AA232" s="451"/>
      <c r="AB232" s="324"/>
      <c r="AP232" s="324"/>
      <c r="AQ232" s="324"/>
      <c r="AR232" s="451"/>
      <c r="AS232" s="324"/>
    </row>
    <row r="233" customFormat="false" ht="12.75" hidden="false" customHeight="false" outlineLevel="0" collapsed="false">
      <c r="G233" s="324"/>
      <c r="H233" s="324"/>
      <c r="I233" s="324"/>
      <c r="J233" s="324"/>
      <c r="K233" s="324"/>
      <c r="L233" s="324"/>
      <c r="M233" s="451"/>
      <c r="N233" s="451"/>
      <c r="O233" s="451"/>
      <c r="P233" s="324"/>
      <c r="Q233" s="324"/>
      <c r="R233" s="324"/>
      <c r="S233" s="324"/>
      <c r="T233" s="324"/>
      <c r="U233" s="324"/>
      <c r="V233" s="324"/>
      <c r="W233" s="324"/>
      <c r="X233" s="451"/>
      <c r="Y233" s="658"/>
      <c r="Z233" s="451"/>
      <c r="AA233" s="451"/>
      <c r="AB233" s="324"/>
      <c r="AP233" s="324"/>
      <c r="AQ233" s="324"/>
      <c r="AR233" s="451"/>
      <c r="AS233" s="324"/>
    </row>
    <row r="234" customFormat="false" ht="12.75" hidden="false" customHeight="false" outlineLevel="0" collapsed="false">
      <c r="G234" s="324"/>
      <c r="H234" s="324"/>
      <c r="I234" s="324"/>
      <c r="J234" s="324"/>
      <c r="K234" s="324"/>
      <c r="L234" s="324"/>
      <c r="M234" s="451"/>
      <c r="N234" s="451"/>
      <c r="O234" s="451"/>
      <c r="P234" s="324"/>
      <c r="Q234" s="324"/>
      <c r="R234" s="324"/>
      <c r="S234" s="324"/>
      <c r="T234" s="324"/>
      <c r="U234" s="324"/>
      <c r="V234" s="324"/>
      <c r="W234" s="324"/>
      <c r="X234" s="451"/>
      <c r="Y234" s="658"/>
      <c r="Z234" s="451"/>
      <c r="AA234" s="451"/>
      <c r="AB234" s="324"/>
      <c r="AP234" s="324"/>
      <c r="AQ234" s="324"/>
      <c r="AR234" s="451"/>
      <c r="AS234" s="324"/>
    </row>
    <row r="235" customFormat="false" ht="12.75" hidden="false" customHeight="false" outlineLevel="0" collapsed="false">
      <c r="G235" s="324"/>
      <c r="H235" s="324"/>
      <c r="I235" s="324"/>
      <c r="J235" s="324"/>
      <c r="K235" s="324"/>
      <c r="L235" s="324"/>
      <c r="M235" s="451"/>
      <c r="N235" s="451"/>
      <c r="O235" s="451"/>
      <c r="P235" s="324"/>
      <c r="Q235" s="324"/>
      <c r="R235" s="324"/>
      <c r="S235" s="324"/>
      <c r="T235" s="324"/>
      <c r="U235" s="324"/>
      <c r="V235" s="324"/>
      <c r="W235" s="324"/>
      <c r="X235" s="451"/>
      <c r="Y235" s="658"/>
      <c r="Z235" s="451"/>
      <c r="AA235" s="451"/>
      <c r="AB235" s="324"/>
      <c r="AP235" s="324"/>
      <c r="AQ235" s="324"/>
      <c r="AR235" s="451"/>
      <c r="AS235" s="324"/>
    </row>
    <row r="236" customFormat="false" ht="12.75" hidden="false" customHeight="false" outlineLevel="0" collapsed="false">
      <c r="G236" s="324"/>
      <c r="H236" s="324"/>
      <c r="I236" s="324"/>
      <c r="J236" s="324"/>
      <c r="K236" s="324"/>
      <c r="L236" s="324"/>
      <c r="M236" s="451"/>
      <c r="N236" s="451"/>
      <c r="O236" s="451"/>
      <c r="P236" s="324"/>
      <c r="Q236" s="324"/>
      <c r="R236" s="324"/>
      <c r="S236" s="324"/>
      <c r="T236" s="324"/>
      <c r="U236" s="324"/>
      <c r="V236" s="324"/>
      <c r="W236" s="324"/>
      <c r="X236" s="451"/>
      <c r="Y236" s="658"/>
      <c r="Z236" s="451"/>
      <c r="AA236" s="451"/>
      <c r="AB236" s="324"/>
      <c r="AP236" s="324"/>
      <c r="AQ236" s="324"/>
      <c r="AR236" s="451"/>
      <c r="AS236" s="324"/>
    </row>
    <row r="237" customFormat="false" ht="12.75" hidden="false" customHeight="false" outlineLevel="0" collapsed="false">
      <c r="G237" s="324"/>
      <c r="H237" s="324"/>
      <c r="I237" s="324"/>
      <c r="J237" s="324"/>
      <c r="K237" s="324"/>
      <c r="L237" s="324"/>
      <c r="M237" s="451"/>
      <c r="N237" s="451"/>
      <c r="O237" s="451"/>
      <c r="P237" s="324"/>
      <c r="Q237" s="324"/>
      <c r="R237" s="324"/>
      <c r="S237" s="324"/>
      <c r="T237" s="324"/>
      <c r="U237" s="324"/>
      <c r="V237" s="324"/>
      <c r="W237" s="324"/>
      <c r="X237" s="451"/>
      <c r="Y237" s="658"/>
      <c r="Z237" s="451"/>
      <c r="AA237" s="451"/>
      <c r="AB237" s="324"/>
      <c r="AP237" s="324"/>
      <c r="AQ237" s="324"/>
      <c r="AR237" s="451"/>
      <c r="AS237" s="324"/>
    </row>
    <row r="238" customFormat="false" ht="12.75" hidden="false" customHeight="false" outlineLevel="0" collapsed="false">
      <c r="G238" s="324"/>
      <c r="H238" s="324"/>
      <c r="I238" s="324"/>
      <c r="J238" s="324"/>
      <c r="K238" s="324"/>
      <c r="L238" s="324"/>
      <c r="M238" s="451"/>
      <c r="N238" s="451"/>
      <c r="O238" s="451"/>
      <c r="P238" s="324"/>
      <c r="Q238" s="324"/>
      <c r="R238" s="324"/>
      <c r="S238" s="324"/>
      <c r="T238" s="324"/>
      <c r="U238" s="324"/>
      <c r="V238" s="324"/>
      <c r="W238" s="324"/>
      <c r="X238" s="451"/>
      <c r="Y238" s="658"/>
      <c r="Z238" s="451"/>
      <c r="AA238" s="451"/>
      <c r="AB238" s="324"/>
      <c r="AP238" s="324"/>
      <c r="AQ238" s="324"/>
      <c r="AR238" s="451"/>
      <c r="AS238" s="324"/>
    </row>
    <row r="239" customFormat="false" ht="12.75" hidden="false" customHeight="false" outlineLevel="0" collapsed="false">
      <c r="G239" s="324"/>
      <c r="H239" s="324"/>
      <c r="I239" s="324"/>
      <c r="J239" s="324"/>
      <c r="K239" s="324"/>
      <c r="L239" s="324"/>
      <c r="M239" s="451"/>
      <c r="N239" s="451"/>
      <c r="O239" s="451"/>
      <c r="P239" s="324"/>
      <c r="Q239" s="324"/>
      <c r="R239" s="324"/>
      <c r="S239" s="324"/>
      <c r="T239" s="324"/>
      <c r="U239" s="324"/>
      <c r="V239" s="324"/>
      <c r="W239" s="324"/>
      <c r="X239" s="451"/>
      <c r="Y239" s="658"/>
      <c r="Z239" s="451"/>
      <c r="AA239" s="451"/>
      <c r="AB239" s="324"/>
      <c r="AP239" s="324"/>
      <c r="AQ239" s="324"/>
      <c r="AR239" s="451"/>
      <c r="AS239" s="324"/>
    </row>
    <row r="240" customFormat="false" ht="12.75" hidden="false" customHeight="false" outlineLevel="0" collapsed="false">
      <c r="G240" s="324"/>
      <c r="H240" s="324"/>
      <c r="I240" s="324"/>
      <c r="J240" s="324"/>
      <c r="K240" s="324"/>
      <c r="L240" s="324"/>
      <c r="M240" s="451"/>
      <c r="N240" s="451"/>
      <c r="O240" s="451"/>
      <c r="P240" s="324"/>
      <c r="Q240" s="324"/>
      <c r="R240" s="324"/>
      <c r="S240" s="324"/>
      <c r="T240" s="324"/>
      <c r="U240" s="324"/>
      <c r="V240" s="324"/>
      <c r="W240" s="324"/>
      <c r="X240" s="451"/>
      <c r="Y240" s="658"/>
      <c r="Z240" s="451"/>
      <c r="AA240" s="451"/>
      <c r="AB240" s="324"/>
      <c r="AP240" s="324"/>
      <c r="AQ240" s="324"/>
      <c r="AR240" s="451"/>
      <c r="AS240" s="324"/>
    </row>
    <row r="241" customFormat="false" ht="12.75" hidden="false" customHeight="false" outlineLevel="0" collapsed="false">
      <c r="G241" s="324"/>
      <c r="H241" s="324"/>
      <c r="I241" s="324"/>
      <c r="J241" s="324"/>
      <c r="K241" s="324"/>
      <c r="L241" s="324"/>
      <c r="M241" s="451"/>
      <c r="N241" s="451"/>
      <c r="O241" s="451"/>
      <c r="P241" s="324"/>
      <c r="Q241" s="324"/>
      <c r="R241" s="324"/>
      <c r="S241" s="324"/>
      <c r="T241" s="324"/>
      <c r="U241" s="324"/>
      <c r="V241" s="324"/>
      <c r="W241" s="324"/>
      <c r="X241" s="451"/>
      <c r="Y241" s="658"/>
      <c r="Z241" s="451"/>
      <c r="AA241" s="451"/>
      <c r="AB241" s="324"/>
      <c r="AP241" s="324"/>
      <c r="AQ241" s="324"/>
      <c r="AR241" s="451"/>
      <c r="AS241" s="324"/>
    </row>
    <row r="242" customFormat="false" ht="12.75" hidden="false" customHeight="false" outlineLevel="0" collapsed="false">
      <c r="G242" s="324"/>
      <c r="H242" s="324"/>
      <c r="I242" s="324"/>
      <c r="J242" s="324"/>
      <c r="K242" s="324"/>
      <c r="L242" s="324"/>
      <c r="M242" s="451"/>
      <c r="N242" s="451"/>
      <c r="O242" s="451"/>
      <c r="P242" s="324"/>
      <c r="Q242" s="324"/>
      <c r="R242" s="324"/>
      <c r="S242" s="324"/>
      <c r="T242" s="324"/>
      <c r="U242" s="324"/>
      <c r="V242" s="324"/>
      <c r="W242" s="324"/>
      <c r="X242" s="451"/>
      <c r="Y242" s="658"/>
      <c r="Z242" s="451"/>
      <c r="AA242" s="451"/>
      <c r="AB242" s="324"/>
      <c r="AP242" s="324"/>
      <c r="AQ242" s="324"/>
      <c r="AR242" s="451"/>
      <c r="AS242" s="324"/>
    </row>
    <row r="243" customFormat="false" ht="12.75" hidden="false" customHeight="false" outlineLevel="0" collapsed="false">
      <c r="G243" s="324"/>
      <c r="H243" s="324"/>
      <c r="I243" s="324"/>
      <c r="J243" s="324"/>
      <c r="K243" s="324"/>
      <c r="L243" s="324"/>
      <c r="M243" s="451"/>
      <c r="N243" s="451"/>
      <c r="O243" s="451"/>
      <c r="P243" s="324"/>
      <c r="Q243" s="324"/>
      <c r="R243" s="324"/>
      <c r="S243" s="324"/>
      <c r="T243" s="324"/>
      <c r="U243" s="324"/>
      <c r="V243" s="324"/>
      <c r="W243" s="324"/>
      <c r="X243" s="451"/>
      <c r="Y243" s="658"/>
      <c r="Z243" s="451"/>
      <c r="AA243" s="451"/>
      <c r="AB243" s="324"/>
      <c r="AP243" s="324"/>
      <c r="AQ243" s="324"/>
      <c r="AR243" s="451"/>
      <c r="AS243" s="324"/>
    </row>
    <row r="244" customFormat="false" ht="12.75" hidden="false" customHeight="false" outlineLevel="0" collapsed="false">
      <c r="G244" s="324"/>
      <c r="H244" s="324"/>
      <c r="I244" s="324"/>
      <c r="J244" s="324"/>
      <c r="K244" s="324"/>
      <c r="L244" s="324"/>
      <c r="M244" s="451"/>
      <c r="N244" s="451"/>
      <c r="O244" s="451"/>
      <c r="P244" s="324"/>
      <c r="Q244" s="324"/>
      <c r="R244" s="324"/>
      <c r="S244" s="324"/>
      <c r="T244" s="324"/>
      <c r="U244" s="324"/>
      <c r="V244" s="324"/>
      <c r="W244" s="324"/>
      <c r="X244" s="451"/>
      <c r="Y244" s="658"/>
      <c r="Z244" s="451"/>
      <c r="AA244" s="451"/>
      <c r="AB244" s="324"/>
      <c r="AP244" s="324"/>
      <c r="AQ244" s="324"/>
      <c r="AR244" s="451"/>
      <c r="AS244" s="324"/>
    </row>
    <row r="245" customFormat="false" ht="12.75" hidden="false" customHeight="false" outlineLevel="0" collapsed="false">
      <c r="G245" s="324"/>
      <c r="H245" s="324"/>
      <c r="I245" s="324"/>
      <c r="J245" s="324"/>
      <c r="K245" s="324"/>
      <c r="L245" s="324"/>
      <c r="M245" s="451"/>
      <c r="N245" s="451"/>
      <c r="O245" s="451"/>
      <c r="P245" s="324"/>
      <c r="Q245" s="324"/>
      <c r="R245" s="324"/>
      <c r="S245" s="324"/>
      <c r="T245" s="324"/>
      <c r="U245" s="324"/>
      <c r="V245" s="324"/>
      <c r="W245" s="324"/>
      <c r="X245" s="451"/>
      <c r="Y245" s="658"/>
      <c r="Z245" s="451"/>
      <c r="AA245" s="451"/>
      <c r="AB245" s="324"/>
      <c r="AP245" s="324"/>
      <c r="AQ245" s="324"/>
      <c r="AR245" s="451"/>
      <c r="AS245" s="324"/>
    </row>
    <row r="246" customFormat="false" ht="12.75" hidden="false" customHeight="false" outlineLevel="0" collapsed="false">
      <c r="G246" s="324"/>
      <c r="H246" s="324"/>
      <c r="I246" s="324"/>
      <c r="J246" s="324"/>
      <c r="K246" s="324"/>
      <c r="L246" s="324"/>
      <c r="M246" s="451"/>
      <c r="N246" s="451"/>
      <c r="O246" s="451"/>
      <c r="P246" s="324"/>
      <c r="Q246" s="324"/>
      <c r="R246" s="324"/>
      <c r="S246" s="324"/>
      <c r="T246" s="324"/>
      <c r="U246" s="324"/>
      <c r="V246" s="324"/>
      <c r="W246" s="324"/>
      <c r="X246" s="451"/>
      <c r="Y246" s="658"/>
      <c r="Z246" s="451"/>
      <c r="AA246" s="451"/>
      <c r="AB246" s="324"/>
      <c r="AP246" s="324"/>
      <c r="AQ246" s="324"/>
      <c r="AR246" s="451"/>
      <c r="AS246" s="324"/>
    </row>
    <row r="247" customFormat="false" ht="12.75" hidden="false" customHeight="false" outlineLevel="0" collapsed="false">
      <c r="G247" s="324"/>
      <c r="H247" s="324"/>
      <c r="I247" s="324"/>
      <c r="J247" s="324"/>
      <c r="K247" s="324"/>
      <c r="L247" s="324"/>
      <c r="M247" s="451"/>
      <c r="N247" s="451"/>
      <c r="O247" s="451"/>
      <c r="P247" s="324"/>
      <c r="Q247" s="324"/>
      <c r="R247" s="324"/>
      <c r="S247" s="324"/>
      <c r="T247" s="324"/>
      <c r="U247" s="324"/>
      <c r="V247" s="324"/>
      <c r="W247" s="324"/>
      <c r="X247" s="451"/>
      <c r="Y247" s="658"/>
      <c r="Z247" s="451"/>
      <c r="AA247" s="451"/>
      <c r="AB247" s="324"/>
      <c r="AP247" s="324"/>
      <c r="AQ247" s="324"/>
      <c r="AR247" s="451"/>
      <c r="AS247" s="324"/>
    </row>
    <row r="248" customFormat="false" ht="12.75" hidden="false" customHeight="false" outlineLevel="0" collapsed="false">
      <c r="G248" s="324"/>
      <c r="H248" s="324"/>
      <c r="I248" s="324"/>
      <c r="J248" s="324"/>
      <c r="K248" s="324"/>
      <c r="L248" s="324"/>
      <c r="M248" s="451"/>
      <c r="N248" s="451"/>
      <c r="O248" s="451"/>
      <c r="P248" s="324"/>
      <c r="Q248" s="324"/>
      <c r="R248" s="324"/>
      <c r="S248" s="324"/>
      <c r="T248" s="324"/>
      <c r="U248" s="324"/>
      <c r="V248" s="324"/>
      <c r="W248" s="324"/>
      <c r="X248" s="451"/>
      <c r="Y248" s="658"/>
      <c r="Z248" s="451"/>
      <c r="AA248" s="451"/>
      <c r="AB248" s="324"/>
      <c r="AP248" s="324"/>
      <c r="AQ248" s="324"/>
      <c r="AR248" s="451"/>
      <c r="AS248" s="324"/>
    </row>
    <row r="249" customFormat="false" ht="12.75" hidden="false" customHeight="false" outlineLevel="0" collapsed="false">
      <c r="G249" s="324"/>
      <c r="H249" s="324"/>
      <c r="I249" s="324"/>
      <c r="J249" s="324"/>
      <c r="K249" s="324"/>
      <c r="L249" s="324"/>
      <c r="M249" s="451"/>
      <c r="N249" s="451"/>
      <c r="O249" s="451"/>
      <c r="P249" s="324"/>
      <c r="Q249" s="324"/>
      <c r="R249" s="324"/>
      <c r="S249" s="324"/>
      <c r="T249" s="324"/>
      <c r="U249" s="324"/>
      <c r="V249" s="324"/>
      <c r="W249" s="324"/>
      <c r="X249" s="451"/>
      <c r="Y249" s="658"/>
      <c r="Z249" s="451"/>
      <c r="AA249" s="451"/>
      <c r="AB249" s="324"/>
      <c r="AP249" s="324"/>
      <c r="AQ249" s="324"/>
      <c r="AR249" s="451"/>
      <c r="AS249" s="324"/>
    </row>
    <row r="250" customFormat="false" ht="12.75" hidden="false" customHeight="false" outlineLevel="0" collapsed="false">
      <c r="G250" s="324"/>
      <c r="H250" s="324"/>
      <c r="I250" s="324"/>
      <c r="J250" s="324"/>
      <c r="K250" s="324"/>
      <c r="L250" s="324"/>
      <c r="M250" s="451"/>
      <c r="N250" s="451"/>
      <c r="O250" s="451"/>
      <c r="P250" s="324"/>
      <c r="Q250" s="324"/>
      <c r="R250" s="324"/>
      <c r="S250" s="324"/>
      <c r="T250" s="324"/>
      <c r="U250" s="324"/>
      <c r="V250" s="324"/>
      <c r="W250" s="324"/>
      <c r="X250" s="451"/>
      <c r="Y250" s="658"/>
      <c r="Z250" s="451"/>
      <c r="AA250" s="451"/>
      <c r="AB250" s="324"/>
      <c r="AP250" s="324"/>
      <c r="AQ250" s="324"/>
      <c r="AR250" s="451"/>
      <c r="AS250" s="324"/>
    </row>
    <row r="251" customFormat="false" ht="12.75" hidden="false" customHeight="false" outlineLevel="0" collapsed="false">
      <c r="G251" s="324"/>
      <c r="H251" s="324"/>
      <c r="I251" s="324"/>
      <c r="J251" s="324"/>
      <c r="K251" s="324"/>
      <c r="L251" s="324"/>
      <c r="M251" s="451"/>
      <c r="N251" s="451"/>
      <c r="O251" s="451"/>
      <c r="P251" s="324"/>
      <c r="Q251" s="324"/>
      <c r="R251" s="324"/>
      <c r="S251" s="324"/>
      <c r="T251" s="324"/>
      <c r="U251" s="324"/>
      <c r="V251" s="324"/>
      <c r="W251" s="324"/>
      <c r="X251" s="451"/>
      <c r="Y251" s="658"/>
      <c r="Z251" s="451"/>
      <c r="AA251" s="451"/>
      <c r="AB251" s="324"/>
      <c r="AP251" s="324"/>
      <c r="AQ251" s="324"/>
      <c r="AR251" s="451"/>
      <c r="AS251" s="324"/>
    </row>
    <row r="252" customFormat="false" ht="12.75" hidden="false" customHeight="false" outlineLevel="0" collapsed="false">
      <c r="G252" s="324"/>
      <c r="H252" s="324"/>
      <c r="I252" s="324"/>
      <c r="J252" s="324"/>
      <c r="K252" s="324"/>
      <c r="L252" s="324"/>
      <c r="M252" s="451"/>
      <c r="N252" s="451"/>
      <c r="O252" s="451"/>
      <c r="P252" s="324"/>
      <c r="Q252" s="324"/>
      <c r="R252" s="324"/>
      <c r="S252" s="324"/>
      <c r="T252" s="324"/>
      <c r="U252" s="324"/>
      <c r="V252" s="324"/>
      <c r="W252" s="324"/>
      <c r="X252" s="451"/>
      <c r="Y252" s="658"/>
      <c r="Z252" s="451"/>
      <c r="AA252" s="451"/>
      <c r="AB252" s="324"/>
      <c r="AP252" s="324"/>
      <c r="AQ252" s="324"/>
      <c r="AR252" s="451"/>
      <c r="AS252" s="324"/>
    </row>
    <row r="253" customFormat="false" ht="12.75" hidden="false" customHeight="false" outlineLevel="0" collapsed="false">
      <c r="G253" s="324"/>
      <c r="H253" s="324"/>
      <c r="I253" s="324"/>
      <c r="J253" s="324"/>
      <c r="K253" s="324"/>
      <c r="L253" s="324"/>
      <c r="M253" s="451"/>
      <c r="N253" s="451"/>
      <c r="O253" s="451"/>
      <c r="P253" s="324"/>
      <c r="Q253" s="324"/>
      <c r="R253" s="324"/>
      <c r="S253" s="324"/>
      <c r="T253" s="324"/>
      <c r="U253" s="324"/>
      <c r="V253" s="324"/>
      <c r="W253" s="324"/>
      <c r="X253" s="451"/>
      <c r="Y253" s="658"/>
      <c r="Z253" s="451"/>
      <c r="AA253" s="451"/>
      <c r="AB253" s="324"/>
      <c r="AP253" s="324"/>
      <c r="AQ253" s="324"/>
      <c r="AR253" s="451"/>
      <c r="AS253" s="324"/>
    </row>
    <row r="254" customFormat="false" ht="12.75" hidden="false" customHeight="false" outlineLevel="0" collapsed="false">
      <c r="G254" s="324"/>
      <c r="H254" s="324"/>
      <c r="I254" s="324"/>
      <c r="J254" s="324"/>
      <c r="K254" s="324"/>
      <c r="L254" s="324"/>
      <c r="M254" s="451"/>
      <c r="N254" s="451"/>
      <c r="O254" s="451"/>
      <c r="P254" s="324"/>
      <c r="Q254" s="324"/>
      <c r="R254" s="324"/>
      <c r="S254" s="324"/>
      <c r="T254" s="324"/>
      <c r="U254" s="324"/>
      <c r="V254" s="324"/>
      <c r="W254" s="324"/>
      <c r="X254" s="451"/>
      <c r="Y254" s="658"/>
      <c r="Z254" s="451"/>
      <c r="AA254" s="451"/>
      <c r="AB254" s="324"/>
      <c r="AP254" s="324"/>
      <c r="AQ254" s="324"/>
      <c r="AR254" s="451"/>
      <c r="AS254" s="324"/>
    </row>
    <row r="255" customFormat="false" ht="12.75" hidden="false" customHeight="false" outlineLevel="0" collapsed="false">
      <c r="G255" s="324"/>
      <c r="H255" s="324"/>
      <c r="I255" s="324"/>
      <c r="J255" s="324"/>
      <c r="K255" s="324"/>
      <c r="L255" s="324"/>
      <c r="M255" s="451"/>
      <c r="N255" s="451"/>
      <c r="O255" s="451"/>
      <c r="P255" s="324"/>
      <c r="Q255" s="324"/>
      <c r="R255" s="324"/>
      <c r="S255" s="324"/>
      <c r="T255" s="324"/>
      <c r="U255" s="324"/>
      <c r="V255" s="324"/>
      <c r="W255" s="324"/>
      <c r="X255" s="451"/>
      <c r="Y255" s="658"/>
      <c r="Z255" s="451"/>
      <c r="AA255" s="451"/>
      <c r="AB255" s="324"/>
      <c r="AP255" s="324"/>
      <c r="AQ255" s="324"/>
      <c r="AR255" s="451"/>
      <c r="AS255" s="324"/>
    </row>
    <row r="256" customFormat="false" ht="12.75" hidden="false" customHeight="false" outlineLevel="0" collapsed="false">
      <c r="G256" s="324"/>
      <c r="H256" s="324"/>
      <c r="I256" s="324"/>
      <c r="J256" s="324"/>
      <c r="K256" s="324"/>
      <c r="L256" s="324"/>
      <c r="M256" s="451"/>
      <c r="N256" s="451"/>
      <c r="O256" s="451"/>
      <c r="P256" s="324"/>
      <c r="Q256" s="324"/>
      <c r="R256" s="324"/>
      <c r="S256" s="324"/>
      <c r="T256" s="324"/>
      <c r="U256" s="324"/>
      <c r="V256" s="324"/>
      <c r="W256" s="324"/>
      <c r="X256" s="451"/>
      <c r="Y256" s="658"/>
      <c r="Z256" s="451"/>
      <c r="AA256" s="451"/>
      <c r="AB256" s="324"/>
      <c r="AP256" s="324"/>
      <c r="AQ256" s="324"/>
      <c r="AR256" s="451"/>
      <c r="AS256" s="324"/>
    </row>
    <row r="257" customFormat="false" ht="12.75" hidden="false" customHeight="false" outlineLevel="0" collapsed="false">
      <c r="G257" s="324"/>
      <c r="H257" s="324"/>
      <c r="I257" s="324"/>
      <c r="J257" s="324"/>
      <c r="K257" s="324"/>
      <c r="L257" s="324"/>
      <c r="M257" s="451"/>
      <c r="N257" s="451"/>
      <c r="O257" s="451"/>
      <c r="P257" s="324"/>
      <c r="Q257" s="324"/>
      <c r="R257" s="324"/>
      <c r="S257" s="324"/>
      <c r="T257" s="324"/>
      <c r="U257" s="324"/>
      <c r="V257" s="324"/>
      <c r="W257" s="324"/>
      <c r="X257" s="451"/>
      <c r="Y257" s="658"/>
      <c r="Z257" s="451"/>
      <c r="AA257" s="451"/>
      <c r="AB257" s="324"/>
      <c r="AP257" s="324"/>
      <c r="AQ257" s="324"/>
      <c r="AR257" s="451"/>
      <c r="AS257" s="324"/>
    </row>
    <row r="258" customFormat="false" ht="12.75" hidden="false" customHeight="false" outlineLevel="0" collapsed="false">
      <c r="G258" s="324"/>
      <c r="H258" s="324"/>
      <c r="I258" s="324"/>
      <c r="J258" s="324"/>
      <c r="K258" s="324"/>
      <c r="L258" s="324"/>
      <c r="M258" s="451"/>
      <c r="N258" s="451"/>
      <c r="O258" s="451"/>
      <c r="P258" s="324"/>
      <c r="Q258" s="324"/>
      <c r="R258" s="324"/>
      <c r="S258" s="324"/>
      <c r="T258" s="324"/>
      <c r="U258" s="324"/>
      <c r="V258" s="324"/>
      <c r="W258" s="324"/>
      <c r="X258" s="451"/>
      <c r="Y258" s="658"/>
      <c r="Z258" s="451"/>
      <c r="AA258" s="451"/>
      <c r="AB258" s="324"/>
      <c r="AP258" s="324"/>
      <c r="AQ258" s="324"/>
      <c r="AR258" s="451"/>
      <c r="AS258" s="324"/>
    </row>
    <row r="259" customFormat="false" ht="12.75" hidden="false" customHeight="false" outlineLevel="0" collapsed="false">
      <c r="G259" s="324"/>
      <c r="H259" s="324"/>
      <c r="I259" s="324"/>
      <c r="J259" s="324"/>
      <c r="K259" s="324"/>
      <c r="L259" s="324"/>
      <c r="M259" s="451"/>
      <c r="N259" s="451"/>
      <c r="O259" s="451"/>
      <c r="P259" s="324"/>
      <c r="Q259" s="324"/>
      <c r="R259" s="324"/>
      <c r="S259" s="324"/>
      <c r="T259" s="324"/>
      <c r="U259" s="324"/>
      <c r="V259" s="324"/>
      <c r="W259" s="324"/>
      <c r="X259" s="451"/>
      <c r="Y259" s="451"/>
      <c r="Z259" s="451"/>
      <c r="AA259" s="451"/>
      <c r="AB259" s="324"/>
      <c r="AP259" s="324"/>
      <c r="AQ259" s="324"/>
      <c r="AR259" s="451"/>
      <c r="AS259" s="324"/>
    </row>
    <row r="260" customFormat="false" ht="12.75" hidden="false" customHeight="false" outlineLevel="0" collapsed="false">
      <c r="G260" s="324"/>
      <c r="H260" s="324"/>
      <c r="I260" s="324"/>
      <c r="J260" s="324"/>
      <c r="K260" s="324"/>
      <c r="L260" s="324"/>
      <c r="M260" s="451"/>
      <c r="N260" s="451"/>
      <c r="O260" s="451"/>
      <c r="P260" s="324"/>
      <c r="Q260" s="324"/>
      <c r="R260" s="324"/>
      <c r="S260" s="324"/>
      <c r="T260" s="324"/>
      <c r="U260" s="324"/>
      <c r="V260" s="324"/>
      <c r="W260" s="324"/>
      <c r="X260" s="451"/>
      <c r="Y260" s="451"/>
      <c r="Z260" s="451"/>
      <c r="AA260" s="451"/>
      <c r="AB260" s="324"/>
      <c r="AP260" s="324"/>
      <c r="AQ260" s="324"/>
      <c r="AR260" s="451"/>
      <c r="AS260" s="324"/>
    </row>
    <row r="261" customFormat="false" ht="12.75" hidden="false" customHeight="false" outlineLevel="0" collapsed="false">
      <c r="G261" s="324"/>
      <c r="H261" s="324"/>
      <c r="I261" s="324"/>
      <c r="J261" s="324"/>
      <c r="K261" s="324"/>
      <c r="L261" s="324"/>
      <c r="M261" s="451"/>
      <c r="N261" s="451"/>
      <c r="O261" s="451"/>
      <c r="P261" s="324"/>
      <c r="Q261" s="324"/>
      <c r="R261" s="324"/>
      <c r="S261" s="324"/>
      <c r="T261" s="324"/>
      <c r="U261" s="324"/>
      <c r="V261" s="324"/>
      <c r="W261" s="324"/>
      <c r="X261" s="451"/>
      <c r="Y261" s="451"/>
      <c r="Z261" s="451"/>
      <c r="AA261" s="451"/>
      <c r="AB261" s="324"/>
      <c r="AP261" s="324"/>
      <c r="AQ261" s="324"/>
      <c r="AR261" s="451"/>
      <c r="AS261" s="324"/>
    </row>
    <row r="262" customFormat="false" ht="12.75" hidden="false" customHeight="false" outlineLevel="0" collapsed="false">
      <c r="G262" s="324"/>
      <c r="H262" s="324"/>
      <c r="I262" s="324"/>
      <c r="J262" s="324"/>
      <c r="K262" s="324"/>
      <c r="L262" s="324"/>
      <c r="M262" s="451"/>
      <c r="N262" s="451"/>
      <c r="O262" s="451"/>
      <c r="P262" s="324"/>
      <c r="Q262" s="324"/>
      <c r="R262" s="324"/>
      <c r="S262" s="324"/>
      <c r="T262" s="324"/>
      <c r="U262" s="324"/>
      <c r="V262" s="324"/>
      <c r="W262" s="324"/>
      <c r="X262" s="451"/>
      <c r="Y262" s="451"/>
      <c r="Z262" s="451"/>
      <c r="AA262" s="451"/>
      <c r="AB262" s="324"/>
      <c r="AP262" s="324"/>
      <c r="AQ262" s="324"/>
      <c r="AR262" s="451"/>
      <c r="AS262" s="324"/>
    </row>
    <row r="263" customFormat="false" ht="12.75" hidden="false" customHeight="false" outlineLevel="0" collapsed="false">
      <c r="G263" s="324"/>
      <c r="H263" s="324"/>
      <c r="I263" s="324"/>
      <c r="J263" s="324"/>
      <c r="K263" s="324"/>
      <c r="L263" s="324"/>
      <c r="M263" s="451"/>
      <c r="N263" s="451"/>
      <c r="O263" s="451"/>
      <c r="P263" s="324"/>
      <c r="Q263" s="324"/>
      <c r="R263" s="324"/>
      <c r="S263" s="324"/>
      <c r="T263" s="324"/>
      <c r="U263" s="324"/>
      <c r="V263" s="324"/>
      <c r="W263" s="324"/>
      <c r="X263" s="451"/>
      <c r="Y263" s="451"/>
      <c r="Z263" s="451"/>
      <c r="AA263" s="451"/>
      <c r="AB263" s="324"/>
      <c r="AP263" s="324"/>
      <c r="AQ263" s="324"/>
      <c r="AR263" s="451"/>
      <c r="AS263" s="324"/>
    </row>
    <row r="264" customFormat="false" ht="12.75" hidden="false" customHeight="false" outlineLevel="0" collapsed="false">
      <c r="G264" s="324"/>
      <c r="H264" s="324"/>
      <c r="I264" s="324"/>
      <c r="J264" s="324"/>
      <c r="K264" s="324"/>
      <c r="L264" s="324"/>
      <c r="M264" s="451"/>
      <c r="N264" s="451"/>
      <c r="O264" s="451"/>
      <c r="P264" s="324"/>
      <c r="Q264" s="324"/>
      <c r="R264" s="324"/>
      <c r="S264" s="324"/>
      <c r="T264" s="324"/>
      <c r="U264" s="324"/>
      <c r="V264" s="324"/>
      <c r="W264" s="324"/>
      <c r="X264" s="451"/>
      <c r="Y264" s="451"/>
      <c r="Z264" s="451"/>
      <c r="AA264" s="451"/>
      <c r="AB264" s="324"/>
      <c r="AP264" s="324"/>
      <c r="AQ264" s="324"/>
      <c r="AR264" s="451"/>
      <c r="AS264" s="324"/>
    </row>
    <row r="265" customFormat="false" ht="12.75" hidden="false" customHeight="false" outlineLevel="0" collapsed="false">
      <c r="G265" s="324"/>
      <c r="H265" s="324"/>
      <c r="I265" s="324"/>
      <c r="J265" s="324"/>
      <c r="K265" s="324"/>
      <c r="L265" s="324"/>
      <c r="M265" s="451"/>
      <c r="N265" s="451"/>
      <c r="O265" s="451"/>
      <c r="P265" s="324"/>
      <c r="Q265" s="324"/>
      <c r="R265" s="324"/>
      <c r="S265" s="324"/>
      <c r="T265" s="324"/>
      <c r="U265" s="324"/>
      <c r="V265" s="324"/>
      <c r="W265" s="324"/>
      <c r="X265" s="451"/>
      <c r="Y265" s="451"/>
      <c r="Z265" s="451"/>
      <c r="AA265" s="451"/>
      <c r="AB265" s="324"/>
      <c r="AP265" s="324"/>
      <c r="AQ265" s="324"/>
      <c r="AR265" s="451"/>
      <c r="AS265" s="324"/>
    </row>
    <row r="266" customFormat="false" ht="12.75" hidden="false" customHeight="false" outlineLevel="0" collapsed="false">
      <c r="G266" s="324"/>
      <c r="H266" s="324"/>
      <c r="I266" s="324"/>
      <c r="J266" s="324"/>
      <c r="K266" s="324"/>
      <c r="L266" s="324"/>
      <c r="M266" s="451"/>
      <c r="N266" s="451"/>
      <c r="O266" s="451"/>
      <c r="P266" s="324"/>
      <c r="Q266" s="324"/>
      <c r="R266" s="324"/>
      <c r="S266" s="324"/>
      <c r="T266" s="324"/>
      <c r="U266" s="324"/>
      <c r="V266" s="324"/>
      <c r="W266" s="324"/>
      <c r="X266" s="451"/>
      <c r="Y266" s="451"/>
      <c r="Z266" s="451"/>
      <c r="AA266" s="451"/>
      <c r="AB266" s="324"/>
      <c r="AP266" s="324"/>
      <c r="AQ266" s="324"/>
      <c r="AR266" s="451"/>
      <c r="AS266" s="324"/>
    </row>
    <row r="267" customFormat="false" ht="12.75" hidden="false" customHeight="false" outlineLevel="0" collapsed="false">
      <c r="G267" s="324"/>
      <c r="H267" s="324"/>
      <c r="I267" s="324"/>
      <c r="J267" s="324"/>
      <c r="K267" s="324"/>
      <c r="L267" s="324"/>
      <c r="M267" s="451"/>
      <c r="N267" s="451"/>
      <c r="O267" s="451"/>
      <c r="P267" s="324"/>
      <c r="Q267" s="324"/>
      <c r="R267" s="324"/>
      <c r="S267" s="324"/>
      <c r="T267" s="324"/>
      <c r="U267" s="324"/>
      <c r="V267" s="324"/>
      <c r="W267" s="324"/>
      <c r="X267" s="451"/>
      <c r="Y267" s="451"/>
      <c r="Z267" s="451"/>
      <c r="AA267" s="451"/>
      <c r="AB267" s="324"/>
      <c r="AP267" s="324"/>
      <c r="AQ267" s="324"/>
      <c r="AR267" s="451"/>
      <c r="AS267" s="324"/>
    </row>
    <row r="268" customFormat="false" ht="12.75" hidden="false" customHeight="false" outlineLevel="0" collapsed="false">
      <c r="G268" s="324"/>
      <c r="H268" s="324"/>
      <c r="I268" s="324"/>
      <c r="J268" s="324"/>
      <c r="K268" s="324"/>
      <c r="L268" s="324"/>
      <c r="M268" s="451"/>
      <c r="N268" s="451"/>
      <c r="O268" s="451"/>
      <c r="P268" s="324"/>
      <c r="Q268" s="324"/>
      <c r="R268" s="324"/>
      <c r="S268" s="324"/>
      <c r="T268" s="324"/>
      <c r="U268" s="324"/>
      <c r="V268" s="324"/>
      <c r="W268" s="324"/>
      <c r="X268" s="451"/>
      <c r="Y268" s="451"/>
      <c r="Z268" s="451"/>
      <c r="AA268" s="451"/>
      <c r="AB268" s="324"/>
      <c r="AP268" s="324"/>
      <c r="AQ268" s="324"/>
      <c r="AR268" s="451"/>
      <c r="AS268" s="324"/>
    </row>
    <row r="269" customFormat="false" ht="12.75" hidden="false" customHeight="false" outlineLevel="0" collapsed="false">
      <c r="G269" s="324"/>
      <c r="H269" s="324"/>
      <c r="I269" s="324"/>
      <c r="J269" s="324"/>
      <c r="K269" s="324"/>
      <c r="L269" s="324"/>
      <c r="M269" s="451"/>
      <c r="N269" s="451"/>
      <c r="O269" s="451"/>
      <c r="P269" s="324"/>
      <c r="Q269" s="324"/>
      <c r="R269" s="324"/>
      <c r="S269" s="324"/>
      <c r="T269" s="324"/>
      <c r="U269" s="324"/>
      <c r="V269" s="324"/>
      <c r="W269" s="324"/>
      <c r="X269" s="451"/>
      <c r="Y269" s="451"/>
      <c r="Z269" s="451"/>
      <c r="AA269" s="451"/>
      <c r="AB269" s="324"/>
      <c r="AP269" s="324"/>
      <c r="AQ269" s="324"/>
      <c r="AR269" s="451"/>
      <c r="AS269" s="324"/>
    </row>
    <row r="270" customFormat="false" ht="12.75" hidden="false" customHeight="false" outlineLevel="0" collapsed="false">
      <c r="G270" s="324"/>
      <c r="H270" s="324"/>
      <c r="I270" s="324"/>
      <c r="J270" s="324"/>
      <c r="K270" s="324"/>
      <c r="L270" s="324"/>
      <c r="M270" s="451"/>
      <c r="N270" s="451"/>
      <c r="O270" s="451"/>
      <c r="P270" s="324"/>
      <c r="Q270" s="324"/>
      <c r="R270" s="324"/>
      <c r="S270" s="324"/>
      <c r="T270" s="324"/>
      <c r="U270" s="324"/>
      <c r="V270" s="324"/>
      <c r="W270" s="324"/>
      <c r="X270" s="451"/>
      <c r="Y270" s="451"/>
      <c r="Z270" s="451"/>
      <c r="AA270" s="451"/>
      <c r="AB270" s="324"/>
      <c r="AP270" s="324"/>
      <c r="AQ270" s="324"/>
      <c r="AR270" s="451"/>
      <c r="AS270" s="324"/>
    </row>
    <row r="271" customFormat="false" ht="12.75" hidden="false" customHeight="false" outlineLevel="0" collapsed="false">
      <c r="G271" s="324"/>
      <c r="H271" s="324"/>
      <c r="I271" s="324"/>
      <c r="J271" s="324"/>
      <c r="K271" s="324"/>
      <c r="L271" s="324"/>
      <c r="M271" s="451"/>
      <c r="N271" s="451"/>
      <c r="O271" s="451"/>
      <c r="P271" s="324"/>
      <c r="Q271" s="324"/>
      <c r="R271" s="324"/>
      <c r="S271" s="324"/>
      <c r="T271" s="324"/>
      <c r="U271" s="324"/>
      <c r="V271" s="324"/>
      <c r="W271" s="324"/>
      <c r="X271" s="451"/>
      <c r="Y271" s="451"/>
      <c r="Z271" s="451"/>
      <c r="AA271" s="451"/>
      <c r="AB271" s="324"/>
      <c r="AP271" s="324"/>
      <c r="AQ271" s="324"/>
      <c r="AR271" s="451"/>
      <c r="AS271" s="324"/>
    </row>
    <row r="272" customFormat="false" ht="12.75" hidden="false" customHeight="false" outlineLevel="0" collapsed="false">
      <c r="G272" s="324"/>
      <c r="H272" s="324"/>
      <c r="I272" s="324"/>
      <c r="J272" s="324"/>
      <c r="K272" s="324"/>
      <c r="L272" s="324"/>
      <c r="M272" s="451"/>
      <c r="N272" s="451"/>
      <c r="O272" s="451"/>
      <c r="P272" s="324"/>
      <c r="Q272" s="324"/>
      <c r="R272" s="324"/>
      <c r="S272" s="324"/>
      <c r="T272" s="324"/>
      <c r="U272" s="324"/>
      <c r="V272" s="324"/>
      <c r="W272" s="324"/>
      <c r="X272" s="451"/>
      <c r="Y272" s="451"/>
      <c r="Z272" s="451"/>
      <c r="AA272" s="451"/>
      <c r="AB272" s="324"/>
      <c r="AP272" s="324"/>
      <c r="AQ272" s="324"/>
      <c r="AR272" s="451"/>
      <c r="AS272" s="324"/>
    </row>
    <row r="273" customFormat="false" ht="12.75" hidden="false" customHeight="false" outlineLevel="0" collapsed="false">
      <c r="G273" s="324"/>
      <c r="H273" s="324"/>
      <c r="I273" s="324"/>
      <c r="J273" s="324"/>
      <c r="K273" s="324"/>
      <c r="L273" s="324"/>
      <c r="M273" s="451"/>
      <c r="N273" s="451"/>
      <c r="O273" s="451"/>
      <c r="P273" s="324"/>
      <c r="Q273" s="324"/>
      <c r="R273" s="324"/>
      <c r="S273" s="324"/>
      <c r="T273" s="324"/>
      <c r="U273" s="324"/>
      <c r="V273" s="324"/>
      <c r="W273" s="324"/>
      <c r="X273" s="451"/>
      <c r="Y273" s="451"/>
      <c r="Z273" s="451"/>
      <c r="AA273" s="451"/>
      <c r="AB273" s="324"/>
      <c r="AP273" s="324"/>
      <c r="AQ273" s="324"/>
      <c r="AR273" s="451"/>
      <c r="AS273" s="324"/>
    </row>
    <row r="274" customFormat="false" ht="12.75" hidden="false" customHeight="false" outlineLevel="0" collapsed="false">
      <c r="G274" s="324"/>
      <c r="H274" s="324"/>
      <c r="I274" s="324"/>
      <c r="J274" s="324"/>
      <c r="K274" s="324"/>
      <c r="L274" s="324"/>
      <c r="M274" s="451"/>
      <c r="N274" s="451"/>
      <c r="O274" s="451"/>
      <c r="P274" s="324"/>
      <c r="Q274" s="324"/>
      <c r="R274" s="324"/>
      <c r="S274" s="324"/>
      <c r="T274" s="324"/>
      <c r="U274" s="324"/>
      <c r="V274" s="324"/>
      <c r="W274" s="324"/>
      <c r="X274" s="451"/>
      <c r="Y274" s="451"/>
      <c r="Z274" s="451"/>
      <c r="AA274" s="451"/>
      <c r="AB274" s="324"/>
      <c r="AP274" s="324"/>
      <c r="AQ274" s="324"/>
      <c r="AR274" s="451"/>
      <c r="AS274" s="324"/>
    </row>
    <row r="275" customFormat="false" ht="12.75" hidden="false" customHeight="false" outlineLevel="0" collapsed="false">
      <c r="G275" s="324"/>
      <c r="H275" s="324"/>
      <c r="I275" s="324"/>
      <c r="J275" s="324"/>
      <c r="K275" s="324"/>
      <c r="L275" s="324"/>
      <c r="M275" s="451"/>
      <c r="N275" s="451"/>
      <c r="O275" s="451"/>
      <c r="P275" s="324"/>
      <c r="Q275" s="324"/>
      <c r="R275" s="324"/>
      <c r="S275" s="324"/>
      <c r="T275" s="324"/>
      <c r="U275" s="324"/>
      <c r="V275" s="324"/>
      <c r="W275" s="324"/>
      <c r="X275" s="451"/>
      <c r="Y275" s="451"/>
      <c r="Z275" s="451"/>
      <c r="AA275" s="451"/>
      <c r="AB275" s="324"/>
      <c r="AP275" s="324"/>
      <c r="AQ275" s="324"/>
      <c r="AR275" s="451"/>
      <c r="AS275" s="324"/>
    </row>
    <row r="276" customFormat="false" ht="12.75" hidden="false" customHeight="false" outlineLevel="0" collapsed="false">
      <c r="G276" s="324"/>
      <c r="H276" s="324"/>
      <c r="I276" s="324"/>
      <c r="J276" s="324"/>
      <c r="K276" s="324"/>
      <c r="L276" s="324"/>
      <c r="M276" s="451"/>
      <c r="N276" s="451"/>
      <c r="O276" s="451"/>
      <c r="P276" s="324"/>
      <c r="Q276" s="324"/>
      <c r="R276" s="324"/>
      <c r="S276" s="324"/>
      <c r="T276" s="324"/>
      <c r="U276" s="324"/>
      <c r="V276" s="324"/>
      <c r="W276" s="324"/>
      <c r="X276" s="451"/>
      <c r="Y276" s="451"/>
      <c r="Z276" s="451"/>
      <c r="AA276" s="451"/>
      <c r="AB276" s="324"/>
      <c r="AP276" s="324"/>
      <c r="AQ276" s="324"/>
      <c r="AR276" s="451"/>
      <c r="AS276" s="324"/>
    </row>
    <row r="277" customFormat="false" ht="12.75" hidden="false" customHeight="false" outlineLevel="0" collapsed="false">
      <c r="G277" s="324"/>
      <c r="H277" s="324"/>
      <c r="I277" s="324"/>
      <c r="J277" s="324"/>
      <c r="K277" s="324"/>
      <c r="L277" s="324"/>
      <c r="M277" s="451"/>
      <c r="N277" s="451"/>
      <c r="O277" s="451"/>
      <c r="P277" s="324"/>
      <c r="Q277" s="324"/>
      <c r="R277" s="324"/>
      <c r="S277" s="324"/>
      <c r="T277" s="324"/>
      <c r="U277" s="324"/>
      <c r="V277" s="324"/>
      <c r="W277" s="324"/>
      <c r="X277" s="451"/>
      <c r="Y277" s="451"/>
      <c r="Z277" s="451"/>
      <c r="AA277" s="451"/>
      <c r="AB277" s="324"/>
      <c r="AP277" s="324"/>
      <c r="AQ277" s="324"/>
      <c r="AR277" s="451"/>
      <c r="AS277" s="324"/>
    </row>
    <row r="278" customFormat="false" ht="12.75" hidden="false" customHeight="false" outlineLevel="0" collapsed="false">
      <c r="G278" s="324"/>
      <c r="H278" s="324"/>
      <c r="I278" s="324"/>
      <c r="J278" s="324"/>
      <c r="K278" s="324"/>
      <c r="L278" s="324"/>
      <c r="M278" s="451"/>
      <c r="N278" s="451"/>
      <c r="O278" s="451"/>
      <c r="P278" s="324"/>
      <c r="Q278" s="324"/>
      <c r="R278" s="324"/>
      <c r="S278" s="324"/>
      <c r="T278" s="324"/>
      <c r="U278" s="324"/>
      <c r="V278" s="324"/>
      <c r="W278" s="324"/>
      <c r="X278" s="451"/>
      <c r="Y278" s="451"/>
      <c r="Z278" s="451"/>
      <c r="AA278" s="451"/>
      <c r="AB278" s="324"/>
      <c r="AP278" s="324"/>
      <c r="AQ278" s="324"/>
      <c r="AR278" s="451"/>
      <c r="AS278" s="324"/>
    </row>
    <row r="279" customFormat="false" ht="12.75" hidden="false" customHeight="false" outlineLevel="0" collapsed="false">
      <c r="G279" s="324"/>
      <c r="H279" s="324"/>
      <c r="I279" s="324"/>
      <c r="J279" s="324"/>
      <c r="K279" s="324"/>
      <c r="L279" s="324"/>
      <c r="M279" s="451"/>
      <c r="N279" s="451"/>
      <c r="O279" s="451"/>
      <c r="P279" s="324"/>
      <c r="Q279" s="324"/>
      <c r="R279" s="324"/>
      <c r="S279" s="324"/>
      <c r="T279" s="324"/>
      <c r="U279" s="324"/>
      <c r="V279" s="324"/>
      <c r="W279" s="324"/>
      <c r="X279" s="451"/>
      <c r="Y279" s="451"/>
      <c r="Z279" s="451"/>
      <c r="AA279" s="451"/>
      <c r="AB279" s="324"/>
      <c r="AP279" s="324"/>
      <c r="AQ279" s="324"/>
      <c r="AR279" s="451"/>
      <c r="AS279" s="324"/>
    </row>
    <row r="280" customFormat="false" ht="12.75" hidden="false" customHeight="false" outlineLevel="0" collapsed="false">
      <c r="G280" s="324"/>
      <c r="H280" s="324"/>
      <c r="I280" s="324"/>
      <c r="J280" s="324"/>
      <c r="K280" s="324"/>
      <c r="L280" s="324"/>
      <c r="M280" s="451"/>
      <c r="N280" s="451"/>
      <c r="O280" s="451"/>
      <c r="P280" s="324"/>
      <c r="Q280" s="324"/>
      <c r="R280" s="324"/>
      <c r="S280" s="324"/>
      <c r="T280" s="324"/>
      <c r="U280" s="324"/>
      <c r="V280" s="324"/>
      <c r="W280" s="324"/>
      <c r="X280" s="451"/>
      <c r="Y280" s="451"/>
      <c r="Z280" s="451"/>
      <c r="AA280" s="451"/>
      <c r="AB280" s="324"/>
      <c r="AP280" s="324"/>
      <c r="AQ280" s="324"/>
      <c r="AR280" s="451"/>
      <c r="AS280" s="324"/>
    </row>
    <row r="281" customFormat="false" ht="12.75" hidden="false" customHeight="false" outlineLevel="0" collapsed="false">
      <c r="G281" s="324"/>
      <c r="H281" s="324"/>
      <c r="I281" s="324"/>
      <c r="J281" s="324"/>
      <c r="K281" s="324"/>
      <c r="L281" s="324"/>
      <c r="M281" s="451"/>
      <c r="N281" s="451"/>
      <c r="O281" s="451"/>
      <c r="P281" s="324"/>
      <c r="Q281" s="324"/>
      <c r="R281" s="324"/>
      <c r="S281" s="324"/>
      <c r="T281" s="324"/>
      <c r="U281" s="324"/>
      <c r="V281" s="324"/>
      <c r="W281" s="324"/>
      <c r="X281" s="451"/>
      <c r="Y281" s="451"/>
      <c r="Z281" s="451"/>
      <c r="AA281" s="451"/>
      <c r="AB281" s="324"/>
      <c r="AP281" s="324"/>
      <c r="AQ281" s="324"/>
      <c r="AR281" s="451"/>
      <c r="AS281" s="324"/>
    </row>
    <row r="282" customFormat="false" ht="12.75" hidden="false" customHeight="false" outlineLevel="0" collapsed="false">
      <c r="G282" s="324"/>
      <c r="H282" s="324"/>
      <c r="I282" s="324"/>
      <c r="J282" s="324"/>
      <c r="K282" s="324"/>
      <c r="L282" s="324"/>
      <c r="M282" s="451"/>
      <c r="N282" s="451"/>
      <c r="O282" s="451"/>
      <c r="P282" s="324"/>
      <c r="Q282" s="324"/>
      <c r="R282" s="324"/>
      <c r="S282" s="324"/>
      <c r="T282" s="324"/>
      <c r="U282" s="324"/>
      <c r="V282" s="324"/>
      <c r="W282" s="324"/>
      <c r="X282" s="451"/>
      <c r="Y282" s="451"/>
      <c r="Z282" s="451"/>
      <c r="AA282" s="451"/>
      <c r="AB282" s="324"/>
      <c r="AP282" s="324"/>
      <c r="AQ282" s="324"/>
      <c r="AR282" s="451"/>
      <c r="AS282" s="324"/>
    </row>
    <row r="283" customFormat="false" ht="12.75" hidden="false" customHeight="false" outlineLevel="0" collapsed="false">
      <c r="G283" s="324"/>
      <c r="H283" s="324"/>
      <c r="I283" s="324"/>
      <c r="J283" s="324"/>
      <c r="K283" s="324"/>
      <c r="L283" s="324"/>
      <c r="M283" s="451"/>
      <c r="N283" s="451"/>
      <c r="O283" s="451"/>
      <c r="P283" s="324"/>
      <c r="Q283" s="324"/>
      <c r="R283" s="324"/>
      <c r="S283" s="324"/>
      <c r="T283" s="324"/>
      <c r="U283" s="324"/>
      <c r="V283" s="324"/>
      <c r="W283" s="324"/>
      <c r="X283" s="451"/>
      <c r="Y283" s="451"/>
      <c r="Z283" s="451"/>
      <c r="AA283" s="451"/>
      <c r="AB283" s="324"/>
      <c r="AP283" s="324"/>
      <c r="AQ283" s="324"/>
      <c r="AR283" s="451"/>
      <c r="AS283" s="324"/>
    </row>
    <row r="284" customFormat="false" ht="12.75" hidden="false" customHeight="false" outlineLevel="0" collapsed="false">
      <c r="G284" s="324"/>
      <c r="H284" s="324"/>
      <c r="I284" s="324"/>
      <c r="J284" s="324"/>
      <c r="K284" s="324"/>
      <c r="L284" s="324"/>
      <c r="M284" s="451"/>
      <c r="N284" s="451"/>
      <c r="O284" s="451"/>
      <c r="P284" s="324"/>
      <c r="Q284" s="324"/>
      <c r="R284" s="324"/>
      <c r="S284" s="324"/>
      <c r="T284" s="324"/>
      <c r="U284" s="324"/>
      <c r="V284" s="324"/>
      <c r="W284" s="324"/>
      <c r="X284" s="451"/>
      <c r="Y284" s="451"/>
      <c r="Z284" s="451"/>
      <c r="AA284" s="451"/>
      <c r="AB284" s="324"/>
      <c r="AP284" s="324"/>
      <c r="AQ284" s="324"/>
      <c r="AR284" s="451"/>
      <c r="AS284" s="324"/>
    </row>
    <row r="285" customFormat="false" ht="12.75" hidden="false" customHeight="false" outlineLevel="0" collapsed="false">
      <c r="G285" s="324"/>
      <c r="H285" s="324"/>
      <c r="I285" s="324"/>
      <c r="J285" s="324"/>
      <c r="K285" s="324"/>
      <c r="L285" s="324"/>
      <c r="M285" s="451"/>
      <c r="N285" s="451"/>
      <c r="O285" s="451"/>
      <c r="P285" s="324"/>
      <c r="Q285" s="324"/>
      <c r="R285" s="324"/>
      <c r="S285" s="324"/>
      <c r="T285" s="324"/>
      <c r="U285" s="324"/>
      <c r="V285" s="324"/>
      <c r="W285" s="324"/>
      <c r="X285" s="451"/>
      <c r="Y285" s="451"/>
      <c r="Z285" s="451"/>
      <c r="AA285" s="451"/>
      <c r="AB285" s="324"/>
      <c r="AP285" s="324"/>
      <c r="AQ285" s="324"/>
      <c r="AR285" s="451"/>
      <c r="AS285" s="324"/>
    </row>
    <row r="286" customFormat="false" ht="12.75" hidden="false" customHeight="false" outlineLevel="0" collapsed="false">
      <c r="G286" s="324"/>
      <c r="H286" s="324"/>
      <c r="I286" s="324"/>
      <c r="J286" s="324"/>
      <c r="K286" s="324"/>
      <c r="L286" s="324"/>
      <c r="M286" s="451"/>
      <c r="N286" s="451"/>
      <c r="O286" s="451"/>
      <c r="P286" s="324"/>
      <c r="Q286" s="324"/>
      <c r="R286" s="324"/>
      <c r="S286" s="324"/>
      <c r="T286" s="324"/>
      <c r="U286" s="324"/>
      <c r="V286" s="324"/>
      <c r="W286" s="324"/>
      <c r="X286" s="451"/>
      <c r="Y286" s="451"/>
      <c r="Z286" s="451"/>
      <c r="AA286" s="451"/>
      <c r="AB286" s="324"/>
      <c r="AP286" s="324"/>
      <c r="AQ286" s="324"/>
      <c r="AR286" s="451"/>
      <c r="AS286" s="324"/>
    </row>
    <row r="287" customFormat="false" ht="12.75" hidden="false" customHeight="false" outlineLevel="0" collapsed="false">
      <c r="G287" s="324"/>
      <c r="H287" s="324"/>
      <c r="I287" s="324"/>
      <c r="J287" s="324"/>
      <c r="K287" s="324"/>
      <c r="L287" s="324"/>
      <c r="M287" s="451"/>
      <c r="N287" s="451"/>
      <c r="O287" s="451"/>
      <c r="P287" s="324"/>
      <c r="Q287" s="324"/>
      <c r="R287" s="324"/>
      <c r="S287" s="324"/>
      <c r="T287" s="324"/>
      <c r="U287" s="324"/>
      <c r="V287" s="324"/>
      <c r="W287" s="324"/>
      <c r="X287" s="451"/>
      <c r="Y287" s="451"/>
      <c r="Z287" s="451"/>
      <c r="AA287" s="451"/>
      <c r="AB287" s="324"/>
      <c r="AP287" s="324"/>
      <c r="AQ287" s="324"/>
      <c r="AR287" s="451"/>
      <c r="AS287" s="324"/>
    </row>
    <row r="288" customFormat="false" ht="12.75" hidden="false" customHeight="false" outlineLevel="0" collapsed="false">
      <c r="G288" s="324"/>
      <c r="H288" s="324"/>
      <c r="I288" s="324"/>
      <c r="J288" s="324"/>
      <c r="K288" s="324"/>
      <c r="L288" s="324"/>
      <c r="M288" s="451"/>
      <c r="N288" s="451"/>
      <c r="O288" s="451"/>
      <c r="P288" s="324"/>
      <c r="Q288" s="324"/>
      <c r="R288" s="324"/>
      <c r="S288" s="324"/>
      <c r="T288" s="324"/>
      <c r="U288" s="324"/>
      <c r="V288" s="324"/>
      <c r="W288" s="324"/>
      <c r="X288" s="451"/>
      <c r="Y288" s="451"/>
      <c r="Z288" s="451"/>
      <c r="AA288" s="451"/>
      <c r="AB288" s="324"/>
      <c r="AP288" s="324"/>
      <c r="AQ288" s="324"/>
      <c r="AR288" s="451"/>
      <c r="AS288" s="324"/>
    </row>
    <row r="289" customFormat="false" ht="12.75" hidden="false" customHeight="false" outlineLevel="0" collapsed="false">
      <c r="G289" s="324"/>
      <c r="H289" s="324"/>
      <c r="I289" s="324"/>
      <c r="J289" s="324"/>
      <c r="K289" s="324"/>
      <c r="L289" s="324"/>
      <c r="M289" s="451"/>
      <c r="N289" s="451"/>
      <c r="O289" s="451"/>
      <c r="P289" s="324"/>
      <c r="Q289" s="324"/>
      <c r="R289" s="324"/>
      <c r="S289" s="324"/>
      <c r="T289" s="324"/>
      <c r="U289" s="324"/>
      <c r="V289" s="324"/>
      <c r="W289" s="324"/>
      <c r="X289" s="451"/>
      <c r="Y289" s="451"/>
      <c r="Z289" s="451"/>
      <c r="AA289" s="451"/>
      <c r="AB289" s="324"/>
      <c r="AP289" s="324"/>
      <c r="AQ289" s="324"/>
      <c r="AR289" s="451"/>
      <c r="AS289" s="324"/>
    </row>
    <row r="290" customFormat="false" ht="12.75" hidden="false" customHeight="false" outlineLevel="0" collapsed="false">
      <c r="G290" s="324"/>
      <c r="H290" s="324"/>
      <c r="I290" s="324"/>
      <c r="J290" s="324"/>
      <c r="K290" s="324"/>
      <c r="L290" s="324"/>
      <c r="M290" s="451"/>
      <c r="N290" s="451"/>
      <c r="O290" s="451"/>
      <c r="P290" s="324"/>
      <c r="Q290" s="324"/>
      <c r="R290" s="324"/>
      <c r="S290" s="324"/>
      <c r="T290" s="324"/>
      <c r="U290" s="324"/>
      <c r="V290" s="324"/>
      <c r="W290" s="324"/>
      <c r="X290" s="451"/>
      <c r="Y290" s="451"/>
      <c r="Z290" s="451"/>
      <c r="AA290" s="451"/>
      <c r="AB290" s="324"/>
      <c r="AP290" s="324"/>
      <c r="AQ290" s="324"/>
      <c r="AR290" s="451"/>
      <c r="AS290" s="324"/>
    </row>
    <row r="291" customFormat="false" ht="12.75" hidden="false" customHeight="false" outlineLevel="0" collapsed="false">
      <c r="G291" s="324"/>
      <c r="H291" s="324"/>
      <c r="I291" s="324"/>
      <c r="J291" s="324"/>
      <c r="K291" s="324"/>
      <c r="L291" s="324"/>
      <c r="M291" s="451"/>
      <c r="N291" s="451"/>
      <c r="O291" s="451"/>
      <c r="P291" s="324"/>
      <c r="Q291" s="324"/>
      <c r="R291" s="324"/>
      <c r="S291" s="324"/>
      <c r="T291" s="324"/>
      <c r="U291" s="324"/>
      <c r="V291" s="324"/>
      <c r="W291" s="324"/>
      <c r="X291" s="451"/>
      <c r="Y291" s="451"/>
      <c r="Z291" s="451"/>
      <c r="AA291" s="451"/>
      <c r="AB291" s="324"/>
      <c r="AP291" s="324"/>
      <c r="AQ291" s="324"/>
      <c r="AR291" s="451"/>
      <c r="AS291" s="324"/>
    </row>
    <row r="292" customFormat="false" ht="12.75" hidden="false" customHeight="false" outlineLevel="0" collapsed="false">
      <c r="G292" s="324"/>
      <c r="H292" s="324"/>
      <c r="I292" s="324"/>
      <c r="J292" s="324"/>
      <c r="K292" s="324"/>
      <c r="L292" s="324"/>
      <c r="M292" s="451"/>
      <c r="N292" s="451"/>
      <c r="O292" s="451"/>
      <c r="P292" s="324"/>
      <c r="Q292" s="324"/>
      <c r="R292" s="324"/>
      <c r="S292" s="324"/>
      <c r="T292" s="324"/>
      <c r="U292" s="324"/>
      <c r="V292" s="324"/>
      <c r="W292" s="324"/>
      <c r="X292" s="451"/>
      <c r="Y292" s="451"/>
      <c r="Z292" s="451"/>
      <c r="AA292" s="451"/>
      <c r="AB292" s="324"/>
      <c r="AP292" s="324"/>
      <c r="AQ292" s="324"/>
      <c r="AR292" s="451"/>
      <c r="AS292" s="324"/>
    </row>
    <row r="293" customFormat="false" ht="12.75" hidden="false" customHeight="false" outlineLevel="0" collapsed="false">
      <c r="G293" s="324"/>
      <c r="H293" s="324"/>
      <c r="I293" s="324"/>
      <c r="J293" s="324"/>
      <c r="K293" s="324"/>
      <c r="L293" s="324"/>
      <c r="M293" s="451"/>
      <c r="N293" s="451"/>
      <c r="O293" s="451"/>
      <c r="P293" s="324"/>
      <c r="Q293" s="324"/>
      <c r="R293" s="324"/>
      <c r="S293" s="324"/>
      <c r="T293" s="324"/>
      <c r="U293" s="324"/>
      <c r="V293" s="324"/>
      <c r="W293" s="324"/>
      <c r="X293" s="451"/>
      <c r="Y293" s="451"/>
      <c r="Z293" s="451"/>
      <c r="AA293" s="451"/>
      <c r="AB293" s="324"/>
      <c r="AP293" s="324"/>
      <c r="AQ293" s="324"/>
      <c r="AR293" s="451"/>
      <c r="AS293" s="324"/>
    </row>
    <row r="294" customFormat="false" ht="12.75" hidden="false" customHeight="false" outlineLevel="0" collapsed="false">
      <c r="G294" s="324"/>
      <c r="H294" s="324"/>
      <c r="I294" s="324"/>
      <c r="J294" s="324"/>
      <c r="K294" s="324"/>
      <c r="L294" s="324"/>
      <c r="M294" s="451"/>
      <c r="N294" s="451"/>
      <c r="O294" s="451"/>
      <c r="P294" s="324"/>
      <c r="Q294" s="324"/>
      <c r="R294" s="324"/>
      <c r="S294" s="324"/>
      <c r="T294" s="324"/>
      <c r="U294" s="324"/>
      <c r="V294" s="324"/>
      <c r="W294" s="324"/>
      <c r="X294" s="451"/>
      <c r="Y294" s="451"/>
      <c r="Z294" s="451"/>
      <c r="AA294" s="451"/>
      <c r="AB294" s="324"/>
      <c r="AP294" s="324"/>
      <c r="AQ294" s="324"/>
      <c r="AR294" s="451"/>
      <c r="AS294" s="324"/>
    </row>
    <row r="295" customFormat="false" ht="12.75" hidden="false" customHeight="false" outlineLevel="0" collapsed="false">
      <c r="G295" s="324"/>
      <c r="H295" s="324"/>
      <c r="I295" s="324"/>
      <c r="J295" s="324"/>
      <c r="K295" s="324"/>
      <c r="L295" s="324"/>
      <c r="M295" s="451"/>
      <c r="N295" s="451"/>
      <c r="O295" s="451"/>
      <c r="P295" s="324"/>
      <c r="Q295" s="324"/>
      <c r="R295" s="324"/>
      <c r="S295" s="324"/>
      <c r="T295" s="324"/>
      <c r="U295" s="324"/>
      <c r="V295" s="324"/>
      <c r="W295" s="324"/>
      <c r="X295" s="451"/>
      <c r="Y295" s="451"/>
      <c r="Z295" s="451"/>
      <c r="AA295" s="451"/>
      <c r="AB295" s="324"/>
      <c r="AP295" s="324"/>
      <c r="AQ295" s="324"/>
      <c r="AR295" s="451"/>
      <c r="AS295" s="324"/>
    </row>
    <row r="296" customFormat="false" ht="12.75" hidden="false" customHeight="false" outlineLevel="0" collapsed="false">
      <c r="G296" s="324"/>
      <c r="H296" s="324"/>
      <c r="I296" s="324"/>
      <c r="J296" s="324"/>
      <c r="K296" s="324"/>
      <c r="L296" s="324"/>
      <c r="M296" s="451"/>
      <c r="N296" s="451"/>
      <c r="O296" s="451"/>
      <c r="P296" s="324"/>
      <c r="Q296" s="324"/>
      <c r="R296" s="324"/>
      <c r="S296" s="324"/>
      <c r="T296" s="324"/>
      <c r="U296" s="324"/>
      <c r="V296" s="324"/>
      <c r="W296" s="324"/>
      <c r="X296" s="451"/>
      <c r="Y296" s="451"/>
      <c r="Z296" s="451"/>
      <c r="AA296" s="451"/>
      <c r="AB296" s="324"/>
      <c r="AP296" s="324"/>
      <c r="AQ296" s="324"/>
      <c r="AR296" s="451"/>
      <c r="AS296" s="324"/>
    </row>
    <row r="297" customFormat="false" ht="12.75" hidden="false" customHeight="false" outlineLevel="0" collapsed="false">
      <c r="G297" s="324"/>
      <c r="H297" s="324"/>
      <c r="I297" s="324"/>
      <c r="J297" s="324"/>
      <c r="K297" s="324"/>
      <c r="L297" s="324"/>
      <c r="M297" s="451"/>
      <c r="N297" s="451"/>
      <c r="O297" s="451"/>
      <c r="P297" s="324"/>
      <c r="Q297" s="324"/>
      <c r="R297" s="324"/>
      <c r="S297" s="324"/>
      <c r="T297" s="324"/>
      <c r="U297" s="324"/>
      <c r="V297" s="324"/>
      <c r="W297" s="324"/>
      <c r="X297" s="451"/>
      <c r="Y297" s="451"/>
      <c r="Z297" s="451"/>
      <c r="AA297" s="451"/>
      <c r="AB297" s="324"/>
      <c r="AP297" s="324"/>
      <c r="AQ297" s="324"/>
      <c r="AR297" s="451"/>
      <c r="AS297" s="324"/>
    </row>
    <row r="298" customFormat="false" ht="12.75" hidden="false" customHeight="false" outlineLevel="0" collapsed="false">
      <c r="G298" s="324"/>
      <c r="H298" s="324"/>
      <c r="I298" s="324"/>
      <c r="J298" s="324"/>
      <c r="K298" s="324"/>
      <c r="L298" s="324"/>
      <c r="M298" s="451"/>
      <c r="N298" s="451"/>
      <c r="O298" s="451"/>
      <c r="P298" s="324"/>
      <c r="Q298" s="324"/>
      <c r="R298" s="324"/>
      <c r="S298" s="324"/>
      <c r="T298" s="324"/>
      <c r="U298" s="324"/>
      <c r="V298" s="324"/>
      <c r="W298" s="324"/>
      <c r="X298" s="451"/>
      <c r="Y298" s="451"/>
      <c r="Z298" s="451"/>
      <c r="AA298" s="451"/>
      <c r="AB298" s="324"/>
      <c r="AP298" s="324"/>
      <c r="AQ298" s="324"/>
      <c r="AR298" s="451"/>
      <c r="AS298" s="324"/>
    </row>
    <row r="299" customFormat="false" ht="12.75" hidden="false" customHeight="false" outlineLevel="0" collapsed="false">
      <c r="G299" s="324"/>
      <c r="H299" s="324"/>
      <c r="I299" s="324"/>
      <c r="J299" s="324"/>
      <c r="K299" s="324"/>
      <c r="L299" s="324"/>
      <c r="M299" s="451"/>
      <c r="N299" s="451"/>
      <c r="O299" s="451"/>
      <c r="P299" s="324"/>
      <c r="Q299" s="324"/>
      <c r="R299" s="324"/>
      <c r="S299" s="324"/>
      <c r="T299" s="324"/>
      <c r="U299" s="324"/>
      <c r="V299" s="324"/>
      <c r="W299" s="324"/>
      <c r="X299" s="451"/>
      <c r="Y299" s="451"/>
      <c r="Z299" s="451"/>
      <c r="AA299" s="451"/>
      <c r="AB299" s="324"/>
      <c r="AP299" s="324"/>
      <c r="AQ299" s="324"/>
      <c r="AR299" s="451"/>
      <c r="AS299" s="324"/>
    </row>
    <row r="300" customFormat="false" ht="12.75" hidden="false" customHeight="false" outlineLevel="0" collapsed="false">
      <c r="G300" s="324"/>
      <c r="H300" s="324"/>
      <c r="I300" s="324"/>
      <c r="J300" s="324"/>
      <c r="K300" s="324"/>
      <c r="L300" s="324"/>
      <c r="M300" s="451"/>
      <c r="N300" s="451"/>
      <c r="O300" s="451"/>
      <c r="P300" s="324"/>
      <c r="Q300" s="324"/>
      <c r="R300" s="324"/>
      <c r="S300" s="324"/>
      <c r="T300" s="324"/>
      <c r="U300" s="324"/>
      <c r="V300" s="324"/>
      <c r="W300" s="324"/>
      <c r="X300" s="451"/>
      <c r="Y300" s="451"/>
      <c r="Z300" s="451"/>
      <c r="AA300" s="451"/>
      <c r="AB300" s="324"/>
      <c r="AP300" s="324"/>
      <c r="AQ300" s="324"/>
      <c r="AR300" s="451"/>
      <c r="AS300" s="324"/>
    </row>
    <row r="301" customFormat="false" ht="12.75" hidden="false" customHeight="false" outlineLevel="0" collapsed="false">
      <c r="G301" s="324"/>
      <c r="H301" s="324"/>
      <c r="I301" s="324"/>
      <c r="J301" s="324"/>
      <c r="K301" s="324"/>
      <c r="L301" s="324"/>
      <c r="M301" s="451"/>
      <c r="N301" s="451"/>
      <c r="O301" s="451"/>
      <c r="P301" s="324"/>
      <c r="Q301" s="324"/>
      <c r="R301" s="324"/>
      <c r="S301" s="324"/>
      <c r="T301" s="324"/>
      <c r="U301" s="324"/>
      <c r="V301" s="324"/>
      <c r="W301" s="324"/>
      <c r="X301" s="451"/>
      <c r="Y301" s="451"/>
      <c r="Z301" s="451"/>
      <c r="AA301" s="451"/>
      <c r="AB301" s="324"/>
      <c r="AP301" s="324"/>
      <c r="AQ301" s="324"/>
      <c r="AR301" s="451"/>
      <c r="AS301" s="324"/>
    </row>
    <row r="302" customFormat="false" ht="12.75" hidden="false" customHeight="false" outlineLevel="0" collapsed="false">
      <c r="G302" s="324"/>
      <c r="H302" s="324"/>
      <c r="I302" s="324"/>
      <c r="J302" s="324"/>
      <c r="K302" s="324"/>
      <c r="L302" s="324"/>
      <c r="M302" s="451"/>
      <c r="N302" s="451"/>
      <c r="O302" s="451"/>
      <c r="P302" s="324"/>
      <c r="Q302" s="324"/>
      <c r="R302" s="324"/>
      <c r="S302" s="324"/>
      <c r="T302" s="324"/>
      <c r="U302" s="324"/>
      <c r="V302" s="324"/>
      <c r="W302" s="324"/>
      <c r="X302" s="451"/>
      <c r="Y302" s="451"/>
      <c r="Z302" s="451"/>
      <c r="AA302" s="451"/>
      <c r="AB302" s="324"/>
      <c r="AP302" s="324"/>
      <c r="AQ302" s="324"/>
      <c r="AR302" s="451"/>
      <c r="AS302" s="324"/>
    </row>
    <row r="303" customFormat="false" ht="12.75" hidden="false" customHeight="false" outlineLevel="0" collapsed="false">
      <c r="G303" s="324"/>
      <c r="H303" s="324"/>
      <c r="I303" s="324"/>
      <c r="J303" s="324"/>
      <c r="K303" s="324"/>
      <c r="L303" s="324"/>
      <c r="M303" s="451"/>
      <c r="N303" s="451"/>
      <c r="O303" s="451"/>
      <c r="P303" s="324"/>
      <c r="Q303" s="324"/>
      <c r="R303" s="324"/>
      <c r="S303" s="324"/>
      <c r="T303" s="324"/>
      <c r="U303" s="324"/>
      <c r="V303" s="324"/>
      <c r="W303" s="324"/>
      <c r="X303" s="451"/>
      <c r="Y303" s="451"/>
      <c r="Z303" s="451"/>
      <c r="AA303" s="451"/>
      <c r="AB303" s="324"/>
      <c r="AP303" s="324"/>
      <c r="AQ303" s="324"/>
      <c r="AR303" s="451"/>
      <c r="AS303" s="324"/>
    </row>
    <row r="304" customFormat="false" ht="12.75" hidden="false" customHeight="false" outlineLevel="0" collapsed="false">
      <c r="G304" s="324"/>
      <c r="H304" s="324"/>
      <c r="I304" s="324"/>
      <c r="J304" s="324"/>
      <c r="K304" s="324"/>
      <c r="L304" s="324"/>
      <c r="M304" s="451"/>
      <c r="N304" s="451"/>
      <c r="O304" s="451"/>
      <c r="P304" s="324"/>
      <c r="Q304" s="324"/>
      <c r="R304" s="324"/>
      <c r="S304" s="324"/>
      <c r="T304" s="324"/>
      <c r="U304" s="324"/>
      <c r="V304" s="324"/>
      <c r="W304" s="324"/>
      <c r="X304" s="451"/>
      <c r="Y304" s="451"/>
      <c r="Z304" s="451"/>
      <c r="AA304" s="451"/>
      <c r="AB304" s="324"/>
      <c r="AP304" s="324"/>
      <c r="AQ304" s="324"/>
      <c r="AR304" s="451"/>
      <c r="AS304" s="324"/>
    </row>
    <row r="305" customFormat="false" ht="12.75" hidden="false" customHeight="false" outlineLevel="0" collapsed="false">
      <c r="G305" s="324"/>
      <c r="H305" s="324"/>
      <c r="I305" s="324"/>
      <c r="J305" s="324"/>
      <c r="K305" s="324"/>
      <c r="L305" s="324"/>
      <c r="M305" s="451"/>
      <c r="N305" s="451"/>
      <c r="O305" s="451"/>
      <c r="P305" s="324"/>
      <c r="Q305" s="324"/>
      <c r="R305" s="324"/>
      <c r="S305" s="324"/>
      <c r="T305" s="324"/>
      <c r="U305" s="324"/>
      <c r="V305" s="324"/>
      <c r="W305" s="324"/>
      <c r="X305" s="451"/>
      <c r="Y305" s="451"/>
      <c r="Z305" s="451"/>
      <c r="AA305" s="451"/>
      <c r="AB305" s="324"/>
      <c r="AP305" s="324"/>
      <c r="AQ305" s="324"/>
      <c r="AR305" s="451"/>
      <c r="AS305" s="324"/>
    </row>
    <row r="306" customFormat="false" ht="12.75" hidden="false" customHeight="false" outlineLevel="0" collapsed="false">
      <c r="G306" s="324"/>
      <c r="H306" s="324"/>
      <c r="I306" s="324"/>
      <c r="J306" s="324"/>
      <c r="K306" s="324"/>
      <c r="L306" s="324"/>
      <c r="M306" s="451"/>
      <c r="N306" s="451"/>
      <c r="O306" s="451"/>
      <c r="P306" s="324"/>
      <c r="Q306" s="324"/>
      <c r="R306" s="324"/>
      <c r="S306" s="324"/>
      <c r="T306" s="324"/>
      <c r="U306" s="324"/>
      <c r="V306" s="324"/>
      <c r="W306" s="324"/>
      <c r="X306" s="451"/>
      <c r="Y306" s="451"/>
      <c r="Z306" s="451"/>
      <c r="AA306" s="451"/>
      <c r="AB306" s="324"/>
      <c r="AP306" s="324"/>
      <c r="AQ306" s="324"/>
      <c r="AR306" s="451"/>
      <c r="AS306" s="324"/>
    </row>
    <row r="307" customFormat="false" ht="12.75" hidden="false" customHeight="false" outlineLevel="0" collapsed="false">
      <c r="G307" s="324"/>
      <c r="H307" s="324"/>
      <c r="I307" s="324"/>
      <c r="J307" s="324"/>
      <c r="K307" s="324"/>
      <c r="L307" s="324"/>
      <c r="M307" s="451"/>
      <c r="N307" s="451"/>
      <c r="O307" s="451"/>
      <c r="P307" s="324"/>
      <c r="Q307" s="324"/>
      <c r="R307" s="324"/>
      <c r="S307" s="324"/>
      <c r="T307" s="324"/>
      <c r="U307" s="324"/>
      <c r="V307" s="324"/>
      <c r="W307" s="324"/>
      <c r="X307" s="451"/>
      <c r="Y307" s="451"/>
      <c r="Z307" s="451"/>
      <c r="AA307" s="451"/>
      <c r="AB307" s="324"/>
      <c r="AP307" s="324"/>
      <c r="AQ307" s="324"/>
      <c r="AR307" s="451"/>
      <c r="AS307" s="324"/>
    </row>
    <row r="308" customFormat="false" ht="12.75" hidden="false" customHeight="false" outlineLevel="0" collapsed="false">
      <c r="G308" s="324"/>
      <c r="H308" s="324"/>
      <c r="I308" s="324"/>
      <c r="J308" s="324"/>
      <c r="K308" s="324"/>
      <c r="L308" s="324"/>
      <c r="M308" s="451"/>
      <c r="N308" s="451"/>
      <c r="O308" s="451"/>
      <c r="P308" s="324"/>
      <c r="Q308" s="324"/>
      <c r="R308" s="324"/>
      <c r="S308" s="324"/>
      <c r="T308" s="324"/>
      <c r="U308" s="324"/>
      <c r="V308" s="324"/>
      <c r="W308" s="324"/>
      <c r="X308" s="451"/>
      <c r="Y308" s="451"/>
      <c r="Z308" s="451"/>
      <c r="AA308" s="451"/>
      <c r="AB308" s="324"/>
      <c r="AP308" s="324"/>
      <c r="AQ308" s="324"/>
      <c r="AR308" s="451"/>
      <c r="AS308" s="324"/>
    </row>
    <row r="309" customFormat="false" ht="12.75" hidden="false" customHeight="false" outlineLevel="0" collapsed="false">
      <c r="G309" s="324"/>
      <c r="H309" s="324"/>
      <c r="I309" s="324"/>
      <c r="J309" s="324"/>
      <c r="K309" s="324"/>
      <c r="L309" s="324"/>
      <c r="M309" s="451"/>
      <c r="N309" s="451"/>
      <c r="O309" s="451"/>
      <c r="P309" s="324"/>
      <c r="Q309" s="324"/>
      <c r="R309" s="324"/>
      <c r="S309" s="324"/>
      <c r="T309" s="324"/>
      <c r="U309" s="324"/>
      <c r="V309" s="324"/>
      <c r="W309" s="324"/>
      <c r="X309" s="451"/>
      <c r="Y309" s="451"/>
      <c r="Z309" s="451"/>
      <c r="AA309" s="451"/>
      <c r="AB309" s="324"/>
      <c r="AP309" s="324"/>
      <c r="AQ309" s="324"/>
      <c r="AR309" s="451"/>
      <c r="AS309" s="324"/>
    </row>
    <row r="310" customFormat="false" ht="12.75" hidden="false" customHeight="false" outlineLevel="0" collapsed="false">
      <c r="G310" s="324"/>
      <c r="H310" s="324"/>
      <c r="I310" s="324"/>
      <c r="J310" s="324"/>
      <c r="K310" s="324"/>
      <c r="L310" s="324"/>
      <c r="M310" s="451"/>
      <c r="N310" s="451"/>
      <c r="O310" s="451"/>
      <c r="P310" s="324"/>
      <c r="Q310" s="324"/>
      <c r="R310" s="324"/>
      <c r="S310" s="324"/>
      <c r="T310" s="324"/>
      <c r="U310" s="324"/>
      <c r="V310" s="324"/>
      <c r="W310" s="324"/>
      <c r="X310" s="451"/>
      <c r="Y310" s="451"/>
      <c r="Z310" s="451"/>
      <c r="AA310" s="451"/>
      <c r="AB310" s="324"/>
      <c r="AP310" s="324"/>
      <c r="AQ310" s="324"/>
      <c r="AR310" s="451"/>
      <c r="AS310" s="324"/>
    </row>
    <row r="311" customFormat="false" ht="12.75" hidden="false" customHeight="false" outlineLevel="0" collapsed="false">
      <c r="G311" s="324"/>
      <c r="H311" s="324"/>
      <c r="I311" s="324"/>
      <c r="J311" s="324"/>
      <c r="K311" s="324"/>
      <c r="L311" s="324"/>
      <c r="M311" s="451"/>
      <c r="N311" s="451"/>
      <c r="O311" s="451"/>
      <c r="P311" s="324"/>
      <c r="Q311" s="324"/>
      <c r="R311" s="324"/>
      <c r="S311" s="324"/>
      <c r="T311" s="324"/>
      <c r="U311" s="324"/>
      <c r="V311" s="324"/>
      <c r="W311" s="324"/>
      <c r="X311" s="451"/>
      <c r="Y311" s="451"/>
      <c r="Z311" s="451"/>
      <c r="AA311" s="451"/>
      <c r="AB311" s="324"/>
      <c r="AP311" s="324"/>
      <c r="AQ311" s="324"/>
      <c r="AR311" s="451"/>
      <c r="AS311" s="324"/>
    </row>
    <row r="312" customFormat="false" ht="12.75" hidden="false" customHeight="false" outlineLevel="0" collapsed="false">
      <c r="G312" s="324"/>
      <c r="H312" s="324"/>
      <c r="I312" s="324"/>
      <c r="J312" s="324"/>
      <c r="K312" s="324"/>
      <c r="L312" s="324"/>
      <c r="M312" s="451"/>
      <c r="N312" s="451"/>
      <c r="O312" s="451"/>
      <c r="P312" s="324"/>
      <c r="Q312" s="324"/>
      <c r="R312" s="324"/>
      <c r="S312" s="324"/>
      <c r="T312" s="324"/>
      <c r="U312" s="324"/>
      <c r="V312" s="324"/>
      <c r="W312" s="324"/>
      <c r="X312" s="451"/>
      <c r="Y312" s="451"/>
      <c r="Z312" s="451"/>
      <c r="AA312" s="451"/>
      <c r="AB312" s="324"/>
      <c r="AP312" s="324"/>
      <c r="AQ312" s="324"/>
      <c r="AR312" s="451"/>
      <c r="AS312" s="324"/>
    </row>
    <row r="313" customFormat="false" ht="12.75" hidden="false" customHeight="false" outlineLevel="0" collapsed="false">
      <c r="G313" s="324"/>
      <c r="H313" s="324"/>
      <c r="I313" s="324"/>
      <c r="J313" s="324"/>
      <c r="K313" s="324"/>
      <c r="L313" s="324"/>
      <c r="M313" s="451"/>
      <c r="N313" s="451"/>
      <c r="O313" s="451"/>
      <c r="P313" s="324"/>
      <c r="Q313" s="324"/>
      <c r="R313" s="324"/>
      <c r="S313" s="324"/>
      <c r="T313" s="324"/>
      <c r="U313" s="324"/>
      <c r="V313" s="324"/>
      <c r="W313" s="324"/>
      <c r="X313" s="451"/>
      <c r="Y313" s="451"/>
      <c r="Z313" s="451"/>
      <c r="AA313" s="451"/>
      <c r="AB313" s="324"/>
      <c r="AP313" s="324"/>
      <c r="AQ313" s="324"/>
      <c r="AR313" s="451"/>
      <c r="AS313" s="324"/>
    </row>
    <row r="314" customFormat="false" ht="12.75" hidden="false" customHeight="false" outlineLevel="0" collapsed="false">
      <c r="G314" s="324"/>
      <c r="H314" s="324"/>
      <c r="I314" s="324"/>
      <c r="J314" s="324"/>
      <c r="K314" s="324"/>
      <c r="L314" s="324"/>
      <c r="M314" s="451"/>
      <c r="N314" s="451"/>
      <c r="O314" s="451"/>
      <c r="P314" s="324"/>
      <c r="Q314" s="324"/>
      <c r="R314" s="324"/>
      <c r="S314" s="324"/>
      <c r="T314" s="324"/>
      <c r="U314" s="324"/>
      <c r="V314" s="324"/>
      <c r="W314" s="324"/>
      <c r="X314" s="451"/>
      <c r="Y314" s="451"/>
      <c r="Z314" s="451"/>
      <c r="AA314" s="451"/>
      <c r="AB314" s="324"/>
      <c r="AP314" s="324"/>
      <c r="AQ314" s="324"/>
      <c r="AR314" s="451"/>
      <c r="AS314" s="324"/>
    </row>
    <row r="315" customFormat="false" ht="12.75" hidden="false" customHeight="false" outlineLevel="0" collapsed="false">
      <c r="G315" s="324"/>
      <c r="H315" s="324"/>
      <c r="I315" s="324"/>
      <c r="J315" s="324"/>
      <c r="K315" s="324"/>
      <c r="L315" s="324"/>
      <c r="M315" s="451"/>
      <c r="N315" s="451"/>
      <c r="O315" s="451"/>
      <c r="P315" s="324"/>
      <c r="Q315" s="324"/>
      <c r="R315" s="324"/>
      <c r="S315" s="324"/>
      <c r="T315" s="324"/>
      <c r="U315" s="324"/>
      <c r="V315" s="324"/>
      <c r="W315" s="324"/>
      <c r="X315" s="451"/>
      <c r="Y315" s="451"/>
      <c r="Z315" s="451"/>
      <c r="AA315" s="451"/>
      <c r="AB315" s="324"/>
      <c r="AP315" s="324"/>
      <c r="AQ315" s="324"/>
      <c r="AR315" s="451"/>
      <c r="AS315" s="324"/>
    </row>
    <row r="316" customFormat="false" ht="12.75" hidden="false" customHeight="false" outlineLevel="0" collapsed="false">
      <c r="G316" s="324"/>
      <c r="H316" s="324"/>
      <c r="I316" s="324"/>
      <c r="J316" s="324"/>
      <c r="K316" s="324"/>
      <c r="L316" s="324"/>
      <c r="M316" s="451"/>
      <c r="N316" s="451"/>
      <c r="O316" s="451"/>
      <c r="P316" s="324"/>
      <c r="Q316" s="324"/>
      <c r="R316" s="324"/>
      <c r="S316" s="324"/>
      <c r="T316" s="324"/>
      <c r="U316" s="324"/>
      <c r="V316" s="324"/>
      <c r="W316" s="324"/>
      <c r="X316" s="451"/>
      <c r="Y316" s="451"/>
      <c r="Z316" s="451"/>
      <c r="AA316" s="451"/>
      <c r="AB316" s="324"/>
      <c r="AP316" s="324"/>
      <c r="AQ316" s="324"/>
      <c r="AR316" s="451"/>
      <c r="AS316" s="324"/>
    </row>
    <row r="317" customFormat="false" ht="12.75" hidden="false" customHeight="false" outlineLevel="0" collapsed="false">
      <c r="G317" s="324"/>
      <c r="H317" s="324"/>
      <c r="I317" s="324"/>
      <c r="J317" s="324"/>
      <c r="K317" s="324"/>
      <c r="L317" s="324"/>
      <c r="M317" s="451"/>
      <c r="N317" s="451"/>
      <c r="O317" s="451"/>
      <c r="P317" s="324"/>
      <c r="Q317" s="324"/>
      <c r="R317" s="324"/>
      <c r="S317" s="324"/>
      <c r="T317" s="324"/>
      <c r="U317" s="324"/>
      <c r="V317" s="324"/>
      <c r="W317" s="324"/>
      <c r="X317" s="451"/>
      <c r="Y317" s="451"/>
      <c r="Z317" s="451"/>
      <c r="AA317" s="451"/>
      <c r="AB317" s="324"/>
      <c r="AP317" s="324"/>
      <c r="AQ317" s="324"/>
      <c r="AR317" s="451"/>
      <c r="AS317" s="324"/>
    </row>
    <row r="318" customFormat="false" ht="12.75" hidden="false" customHeight="false" outlineLevel="0" collapsed="false">
      <c r="G318" s="324"/>
      <c r="H318" s="324"/>
      <c r="I318" s="324"/>
      <c r="J318" s="324"/>
      <c r="K318" s="324"/>
      <c r="L318" s="324"/>
      <c r="M318" s="451"/>
      <c r="N318" s="451"/>
      <c r="O318" s="451"/>
      <c r="P318" s="324"/>
      <c r="Q318" s="324"/>
      <c r="R318" s="324"/>
      <c r="S318" s="324"/>
      <c r="T318" s="324"/>
      <c r="U318" s="324"/>
      <c r="V318" s="324"/>
      <c r="W318" s="324"/>
      <c r="X318" s="451"/>
      <c r="Y318" s="451"/>
      <c r="Z318" s="451"/>
      <c r="AA318" s="451"/>
      <c r="AB318" s="324"/>
      <c r="AP318" s="324"/>
      <c r="AQ318" s="324"/>
      <c r="AR318" s="451"/>
      <c r="AS318" s="324"/>
    </row>
    <row r="319" customFormat="false" ht="12.75" hidden="false" customHeight="false" outlineLevel="0" collapsed="false">
      <c r="G319" s="324"/>
      <c r="H319" s="324"/>
      <c r="I319" s="324"/>
      <c r="J319" s="324"/>
      <c r="K319" s="324"/>
      <c r="L319" s="324"/>
      <c r="M319" s="451"/>
      <c r="N319" s="451"/>
      <c r="O319" s="451"/>
      <c r="P319" s="324"/>
      <c r="Q319" s="324"/>
      <c r="R319" s="324"/>
      <c r="S319" s="324"/>
      <c r="T319" s="324"/>
      <c r="U319" s="324"/>
      <c r="V319" s="324"/>
      <c r="W319" s="324"/>
      <c r="X319" s="451"/>
      <c r="Y319" s="451"/>
      <c r="Z319" s="451"/>
      <c r="AA319" s="451"/>
      <c r="AB319" s="324"/>
      <c r="AP319" s="324"/>
      <c r="AQ319" s="324"/>
      <c r="AR319" s="451"/>
      <c r="AS319" s="324"/>
    </row>
    <row r="320" customFormat="false" ht="12.75" hidden="false" customHeight="false" outlineLevel="0" collapsed="false">
      <c r="G320" s="324"/>
      <c r="H320" s="324"/>
      <c r="I320" s="324"/>
      <c r="J320" s="324"/>
      <c r="K320" s="324"/>
      <c r="L320" s="324"/>
      <c r="M320" s="451"/>
      <c r="N320" s="451"/>
      <c r="O320" s="451"/>
      <c r="P320" s="324"/>
      <c r="Q320" s="324"/>
      <c r="R320" s="324"/>
      <c r="S320" s="324"/>
      <c r="T320" s="324"/>
      <c r="U320" s="324"/>
      <c r="V320" s="324"/>
      <c r="W320" s="324"/>
      <c r="X320" s="451"/>
      <c r="Y320" s="451"/>
      <c r="Z320" s="451"/>
      <c r="AA320" s="451"/>
      <c r="AB320" s="324"/>
      <c r="AP320" s="324"/>
      <c r="AQ320" s="324"/>
      <c r="AR320" s="451"/>
      <c r="AS320" s="324"/>
    </row>
    <row r="321" customFormat="false" ht="12.75" hidden="false" customHeight="false" outlineLevel="0" collapsed="false">
      <c r="G321" s="324"/>
      <c r="H321" s="324"/>
      <c r="I321" s="324"/>
      <c r="J321" s="324"/>
      <c r="K321" s="324"/>
      <c r="L321" s="324"/>
      <c r="M321" s="451"/>
      <c r="N321" s="451"/>
      <c r="O321" s="451"/>
      <c r="P321" s="324"/>
      <c r="Q321" s="324"/>
      <c r="R321" s="324"/>
      <c r="S321" s="324"/>
      <c r="T321" s="324"/>
      <c r="U321" s="324"/>
      <c r="V321" s="324"/>
      <c r="W321" s="324"/>
      <c r="X321" s="451"/>
      <c r="Y321" s="451"/>
      <c r="Z321" s="451"/>
      <c r="AA321" s="451"/>
      <c r="AB321" s="324"/>
      <c r="AP321" s="324"/>
      <c r="AQ321" s="324"/>
      <c r="AR321" s="451"/>
      <c r="AS321" s="324"/>
    </row>
    <row r="322" customFormat="false" ht="12.75" hidden="false" customHeight="false" outlineLevel="0" collapsed="false">
      <c r="G322" s="324"/>
      <c r="H322" s="324"/>
      <c r="I322" s="324"/>
      <c r="J322" s="324"/>
      <c r="K322" s="324"/>
      <c r="L322" s="324"/>
      <c r="M322" s="451"/>
      <c r="N322" s="451"/>
      <c r="O322" s="451"/>
      <c r="P322" s="324"/>
      <c r="Q322" s="324"/>
      <c r="R322" s="324"/>
      <c r="S322" s="324"/>
      <c r="T322" s="324"/>
      <c r="U322" s="324"/>
      <c r="V322" s="324"/>
      <c r="W322" s="324"/>
      <c r="X322" s="451"/>
      <c r="Y322" s="451"/>
      <c r="Z322" s="451"/>
      <c r="AA322" s="451"/>
      <c r="AB322" s="324"/>
      <c r="AP322" s="324"/>
      <c r="AQ322" s="324"/>
      <c r="AR322" s="451"/>
      <c r="AS322" s="324"/>
    </row>
    <row r="323" customFormat="false" ht="12.75" hidden="false" customHeight="false" outlineLevel="0" collapsed="false">
      <c r="G323" s="324"/>
      <c r="H323" s="324"/>
      <c r="I323" s="324"/>
      <c r="J323" s="324"/>
      <c r="K323" s="324"/>
      <c r="L323" s="324"/>
      <c r="M323" s="451"/>
      <c r="N323" s="451"/>
      <c r="O323" s="451"/>
      <c r="P323" s="324"/>
      <c r="Q323" s="324"/>
      <c r="R323" s="324"/>
      <c r="S323" s="324"/>
      <c r="T323" s="324"/>
      <c r="U323" s="324"/>
      <c r="V323" s="324"/>
      <c r="W323" s="324"/>
      <c r="X323" s="451"/>
      <c r="Y323" s="451"/>
      <c r="Z323" s="451"/>
      <c r="AA323" s="451"/>
      <c r="AB323" s="324"/>
      <c r="AP323" s="324"/>
      <c r="AQ323" s="324"/>
      <c r="AR323" s="451"/>
      <c r="AS323" s="324"/>
    </row>
    <row r="324" customFormat="false" ht="12.75" hidden="false" customHeight="false" outlineLevel="0" collapsed="false">
      <c r="G324" s="324"/>
      <c r="H324" s="324"/>
      <c r="I324" s="324"/>
      <c r="J324" s="324"/>
      <c r="K324" s="324"/>
      <c r="L324" s="324"/>
      <c r="M324" s="451"/>
      <c r="N324" s="451"/>
      <c r="O324" s="451"/>
      <c r="P324" s="324"/>
      <c r="Q324" s="324"/>
      <c r="R324" s="324"/>
      <c r="S324" s="324"/>
      <c r="T324" s="324"/>
      <c r="U324" s="324"/>
      <c r="V324" s="324"/>
      <c r="W324" s="324"/>
      <c r="X324" s="451"/>
      <c r="Y324" s="451"/>
      <c r="Z324" s="451"/>
      <c r="AA324" s="451"/>
      <c r="AB324" s="324"/>
      <c r="AP324" s="324"/>
      <c r="AQ324" s="324"/>
      <c r="AR324" s="451"/>
      <c r="AS324" s="324"/>
    </row>
    <row r="325" customFormat="false" ht="12.75" hidden="false" customHeight="false" outlineLevel="0" collapsed="false">
      <c r="G325" s="324"/>
      <c r="H325" s="324"/>
      <c r="I325" s="324"/>
      <c r="J325" s="324"/>
      <c r="K325" s="324"/>
      <c r="L325" s="324"/>
      <c r="M325" s="451"/>
      <c r="N325" s="451"/>
      <c r="O325" s="451"/>
      <c r="P325" s="324"/>
      <c r="Q325" s="324"/>
      <c r="R325" s="324"/>
      <c r="S325" s="324"/>
      <c r="T325" s="324"/>
      <c r="U325" s="324"/>
      <c r="V325" s="324"/>
      <c r="W325" s="324"/>
      <c r="X325" s="451"/>
      <c r="Y325" s="451"/>
      <c r="Z325" s="451"/>
      <c r="AA325" s="451"/>
      <c r="AB325" s="324"/>
      <c r="AP325" s="324"/>
      <c r="AQ325" s="324"/>
      <c r="AR325" s="451"/>
      <c r="AS325" s="324"/>
    </row>
    <row r="326" customFormat="false" ht="12.75" hidden="false" customHeight="false" outlineLevel="0" collapsed="false">
      <c r="G326" s="324"/>
      <c r="H326" s="324"/>
      <c r="I326" s="324"/>
      <c r="J326" s="324"/>
      <c r="K326" s="324"/>
      <c r="L326" s="324"/>
      <c r="M326" s="451"/>
      <c r="N326" s="451"/>
      <c r="O326" s="451"/>
      <c r="P326" s="324"/>
      <c r="Q326" s="324"/>
      <c r="R326" s="324"/>
      <c r="S326" s="324"/>
      <c r="T326" s="324"/>
      <c r="U326" s="324"/>
      <c r="V326" s="324"/>
      <c r="W326" s="324"/>
      <c r="X326" s="451"/>
      <c r="Y326" s="451"/>
      <c r="Z326" s="451"/>
      <c r="AA326" s="451"/>
      <c r="AB326" s="324"/>
      <c r="AP326" s="324"/>
      <c r="AQ326" s="324"/>
      <c r="AR326" s="451"/>
      <c r="AS326" s="324"/>
    </row>
    <row r="327" customFormat="false" ht="12.75" hidden="false" customHeight="false" outlineLevel="0" collapsed="false">
      <c r="G327" s="324"/>
      <c r="H327" s="324"/>
      <c r="I327" s="324"/>
      <c r="J327" s="324"/>
      <c r="K327" s="324"/>
      <c r="L327" s="324"/>
      <c r="M327" s="451"/>
      <c r="N327" s="451"/>
      <c r="O327" s="451"/>
      <c r="P327" s="324"/>
      <c r="Q327" s="324"/>
      <c r="R327" s="324"/>
      <c r="S327" s="324"/>
      <c r="T327" s="324"/>
      <c r="U327" s="324"/>
      <c r="V327" s="324"/>
      <c r="W327" s="324"/>
      <c r="X327" s="451"/>
      <c r="Y327" s="451"/>
      <c r="Z327" s="451"/>
      <c r="AA327" s="451"/>
      <c r="AB327" s="324"/>
      <c r="AP327" s="324"/>
      <c r="AQ327" s="324"/>
      <c r="AR327" s="451"/>
      <c r="AS327" s="324"/>
    </row>
    <row r="328" customFormat="false" ht="12.75" hidden="false" customHeight="false" outlineLevel="0" collapsed="false">
      <c r="G328" s="324"/>
      <c r="H328" s="324"/>
      <c r="I328" s="324"/>
      <c r="J328" s="324"/>
      <c r="K328" s="324"/>
      <c r="L328" s="324"/>
      <c r="M328" s="451"/>
      <c r="N328" s="451"/>
      <c r="O328" s="451"/>
      <c r="P328" s="324"/>
      <c r="Q328" s="324"/>
      <c r="R328" s="324"/>
      <c r="S328" s="324"/>
      <c r="T328" s="324"/>
      <c r="U328" s="324"/>
      <c r="V328" s="324"/>
      <c r="W328" s="324"/>
      <c r="X328" s="451"/>
      <c r="Y328" s="451"/>
      <c r="Z328" s="451"/>
      <c r="AA328" s="451"/>
      <c r="AB328" s="324"/>
      <c r="AP328" s="324"/>
      <c r="AQ328" s="324"/>
      <c r="AR328" s="451"/>
      <c r="AS328" s="324"/>
    </row>
    <row r="329" customFormat="false" ht="12.75" hidden="false" customHeight="false" outlineLevel="0" collapsed="false">
      <c r="G329" s="324"/>
      <c r="H329" s="324"/>
      <c r="I329" s="324"/>
      <c r="J329" s="324"/>
      <c r="K329" s="324"/>
      <c r="L329" s="324"/>
      <c r="M329" s="451"/>
      <c r="N329" s="451"/>
      <c r="O329" s="451"/>
      <c r="P329" s="324"/>
      <c r="Q329" s="324"/>
      <c r="R329" s="324"/>
      <c r="S329" s="324"/>
      <c r="T329" s="324"/>
      <c r="U329" s="324"/>
      <c r="V329" s="324"/>
      <c r="W329" s="324"/>
      <c r="X329" s="451"/>
      <c r="Y329" s="451"/>
      <c r="Z329" s="451"/>
      <c r="AA329" s="451"/>
      <c r="AB329" s="324"/>
      <c r="AP329" s="324"/>
      <c r="AQ329" s="324"/>
      <c r="AR329" s="451"/>
      <c r="AS329" s="324"/>
    </row>
    <row r="330" customFormat="false" ht="12.75" hidden="false" customHeight="false" outlineLevel="0" collapsed="false">
      <c r="G330" s="324"/>
      <c r="H330" s="324"/>
      <c r="I330" s="324"/>
      <c r="J330" s="324"/>
      <c r="K330" s="324"/>
      <c r="L330" s="324"/>
      <c r="M330" s="451"/>
      <c r="N330" s="451"/>
      <c r="O330" s="451"/>
      <c r="P330" s="324"/>
      <c r="Q330" s="324"/>
      <c r="R330" s="324"/>
      <c r="S330" s="324"/>
      <c r="T330" s="324"/>
      <c r="U330" s="324"/>
      <c r="V330" s="324"/>
      <c r="W330" s="324"/>
      <c r="X330" s="451"/>
      <c r="Y330" s="451"/>
      <c r="Z330" s="451"/>
      <c r="AA330" s="451"/>
      <c r="AB330" s="324"/>
      <c r="AP330" s="324"/>
      <c r="AQ330" s="324"/>
      <c r="AR330" s="451"/>
      <c r="AS330" s="324"/>
    </row>
    <row r="331" customFormat="false" ht="12.75" hidden="false" customHeight="false" outlineLevel="0" collapsed="false">
      <c r="G331" s="324"/>
      <c r="H331" s="324"/>
      <c r="I331" s="324"/>
      <c r="J331" s="324"/>
      <c r="K331" s="324"/>
      <c r="L331" s="324"/>
      <c r="M331" s="451"/>
      <c r="N331" s="451"/>
      <c r="O331" s="451"/>
      <c r="P331" s="324"/>
      <c r="Q331" s="324"/>
      <c r="R331" s="324"/>
      <c r="S331" s="324"/>
      <c r="T331" s="324"/>
      <c r="U331" s="324"/>
      <c r="V331" s="324"/>
      <c r="W331" s="324"/>
      <c r="X331" s="451"/>
      <c r="Y331" s="451"/>
      <c r="Z331" s="451"/>
      <c r="AA331" s="451"/>
      <c r="AB331" s="324"/>
      <c r="AP331" s="324"/>
      <c r="AQ331" s="324"/>
      <c r="AR331" s="451"/>
      <c r="AS331" s="324"/>
    </row>
    <row r="332" customFormat="false" ht="12.75" hidden="false" customHeight="false" outlineLevel="0" collapsed="false">
      <c r="G332" s="324"/>
      <c r="H332" s="324"/>
      <c r="I332" s="324"/>
      <c r="J332" s="324"/>
      <c r="K332" s="324"/>
      <c r="L332" s="324"/>
      <c r="M332" s="451"/>
      <c r="N332" s="451"/>
      <c r="O332" s="451"/>
      <c r="P332" s="324"/>
      <c r="Q332" s="324"/>
      <c r="R332" s="324"/>
      <c r="S332" s="324"/>
      <c r="T332" s="324"/>
      <c r="U332" s="324"/>
      <c r="V332" s="324"/>
      <c r="W332" s="324"/>
      <c r="X332" s="451"/>
      <c r="Y332" s="451"/>
      <c r="Z332" s="451"/>
      <c r="AA332" s="451"/>
      <c r="AB332" s="324"/>
      <c r="AP332" s="324"/>
      <c r="AQ332" s="324"/>
      <c r="AR332" s="451"/>
      <c r="AS332" s="324"/>
    </row>
    <row r="333" customFormat="false" ht="12.75" hidden="false" customHeight="false" outlineLevel="0" collapsed="false">
      <c r="G333" s="324"/>
      <c r="H333" s="324"/>
      <c r="I333" s="324"/>
      <c r="J333" s="324"/>
      <c r="K333" s="324"/>
      <c r="L333" s="324"/>
      <c r="M333" s="451"/>
      <c r="N333" s="451"/>
      <c r="O333" s="451"/>
      <c r="P333" s="324"/>
      <c r="Q333" s="324"/>
      <c r="R333" s="324"/>
      <c r="S333" s="324"/>
      <c r="T333" s="324"/>
      <c r="U333" s="324"/>
      <c r="V333" s="324"/>
      <c r="W333" s="324"/>
      <c r="X333" s="451"/>
      <c r="Y333" s="451"/>
      <c r="Z333" s="451"/>
      <c r="AA333" s="451"/>
      <c r="AB333" s="324"/>
      <c r="AP333" s="324"/>
      <c r="AQ333" s="324"/>
      <c r="AR333" s="451"/>
      <c r="AS333" s="324"/>
    </row>
    <row r="334" customFormat="false" ht="12.75" hidden="false" customHeight="false" outlineLevel="0" collapsed="false">
      <c r="G334" s="324"/>
      <c r="H334" s="324"/>
      <c r="I334" s="324"/>
      <c r="J334" s="324"/>
      <c r="K334" s="324"/>
      <c r="L334" s="324"/>
      <c r="M334" s="451"/>
      <c r="N334" s="451"/>
      <c r="O334" s="451"/>
      <c r="P334" s="324"/>
      <c r="Q334" s="324"/>
      <c r="R334" s="324"/>
      <c r="S334" s="324"/>
      <c r="T334" s="324"/>
      <c r="U334" s="324"/>
      <c r="V334" s="324"/>
      <c r="W334" s="324"/>
      <c r="X334" s="451"/>
      <c r="Y334" s="451"/>
      <c r="Z334" s="451"/>
      <c r="AA334" s="451"/>
      <c r="AB334" s="324"/>
      <c r="AP334" s="324"/>
      <c r="AQ334" s="324"/>
      <c r="AR334" s="451"/>
      <c r="AS334" s="324"/>
    </row>
    <row r="335" customFormat="false" ht="12.75" hidden="false" customHeight="false" outlineLevel="0" collapsed="false">
      <c r="G335" s="324"/>
      <c r="H335" s="324"/>
      <c r="I335" s="324"/>
      <c r="J335" s="324"/>
      <c r="K335" s="324"/>
      <c r="L335" s="324"/>
      <c r="M335" s="451"/>
      <c r="N335" s="451"/>
      <c r="O335" s="451"/>
      <c r="P335" s="324"/>
      <c r="Q335" s="324"/>
      <c r="R335" s="324"/>
      <c r="S335" s="324"/>
      <c r="T335" s="324"/>
      <c r="U335" s="324"/>
      <c r="V335" s="324"/>
      <c r="W335" s="324"/>
      <c r="X335" s="451"/>
      <c r="Y335" s="451"/>
      <c r="Z335" s="451"/>
      <c r="AA335" s="451"/>
      <c r="AB335" s="324"/>
      <c r="AP335" s="324"/>
      <c r="AQ335" s="324"/>
      <c r="AR335" s="451"/>
      <c r="AS335" s="324"/>
    </row>
    <row r="336" customFormat="false" ht="12.75" hidden="false" customHeight="false" outlineLevel="0" collapsed="false">
      <c r="G336" s="324"/>
      <c r="H336" s="324"/>
      <c r="I336" s="324"/>
      <c r="J336" s="324"/>
      <c r="K336" s="324"/>
      <c r="L336" s="324"/>
      <c r="M336" s="451"/>
      <c r="N336" s="451"/>
      <c r="O336" s="451"/>
      <c r="P336" s="324"/>
      <c r="Q336" s="324"/>
      <c r="R336" s="324"/>
      <c r="S336" s="324"/>
      <c r="T336" s="324"/>
      <c r="U336" s="324"/>
      <c r="V336" s="324"/>
      <c r="W336" s="324"/>
      <c r="X336" s="451"/>
      <c r="Y336" s="451"/>
      <c r="Z336" s="451"/>
      <c r="AA336" s="451"/>
      <c r="AB336" s="324"/>
      <c r="AP336" s="324"/>
      <c r="AQ336" s="324"/>
      <c r="AR336" s="451"/>
      <c r="AS336" s="324"/>
    </row>
    <row r="337" customFormat="false" ht="12.75" hidden="false" customHeight="false" outlineLevel="0" collapsed="false">
      <c r="G337" s="324"/>
      <c r="H337" s="324"/>
      <c r="I337" s="324"/>
      <c r="J337" s="324"/>
      <c r="K337" s="324"/>
      <c r="L337" s="324"/>
      <c r="M337" s="451"/>
      <c r="N337" s="451"/>
      <c r="O337" s="451"/>
      <c r="P337" s="324"/>
      <c r="Q337" s="324"/>
      <c r="R337" s="324"/>
      <c r="S337" s="324"/>
      <c r="T337" s="324"/>
      <c r="U337" s="324"/>
      <c r="V337" s="324"/>
      <c r="W337" s="324"/>
      <c r="X337" s="451"/>
      <c r="Y337" s="451"/>
      <c r="Z337" s="451"/>
      <c r="AA337" s="451"/>
      <c r="AB337" s="324"/>
      <c r="AP337" s="324"/>
      <c r="AQ337" s="324"/>
      <c r="AR337" s="451"/>
      <c r="AS337" s="324"/>
    </row>
    <row r="338" customFormat="false" ht="12.75" hidden="false" customHeight="false" outlineLevel="0" collapsed="false">
      <c r="G338" s="324"/>
      <c r="H338" s="324"/>
      <c r="I338" s="324"/>
      <c r="J338" s="324"/>
      <c r="K338" s="324"/>
      <c r="L338" s="324"/>
      <c r="M338" s="451"/>
      <c r="N338" s="451"/>
      <c r="O338" s="451"/>
      <c r="P338" s="324"/>
      <c r="Q338" s="324"/>
      <c r="R338" s="324"/>
      <c r="S338" s="324"/>
      <c r="T338" s="324"/>
      <c r="U338" s="324"/>
      <c r="V338" s="324"/>
      <c r="W338" s="324"/>
      <c r="X338" s="451"/>
      <c r="Y338" s="451"/>
      <c r="Z338" s="451"/>
      <c r="AA338" s="451"/>
      <c r="AB338" s="324"/>
      <c r="AP338" s="324"/>
      <c r="AQ338" s="324"/>
      <c r="AR338" s="451"/>
      <c r="AS338" s="324"/>
    </row>
    <row r="339" customFormat="false" ht="12.75" hidden="false" customHeight="false" outlineLevel="0" collapsed="false">
      <c r="G339" s="324"/>
      <c r="H339" s="324"/>
      <c r="I339" s="324"/>
      <c r="J339" s="324"/>
      <c r="K339" s="324"/>
      <c r="L339" s="324"/>
      <c r="M339" s="451"/>
      <c r="N339" s="451"/>
      <c r="O339" s="451"/>
      <c r="P339" s="324"/>
      <c r="Q339" s="324"/>
      <c r="R339" s="324"/>
      <c r="S339" s="324"/>
      <c r="T339" s="324"/>
      <c r="U339" s="324"/>
      <c r="V339" s="324"/>
      <c r="W339" s="324"/>
      <c r="X339" s="451"/>
      <c r="Y339" s="451"/>
      <c r="Z339" s="451"/>
      <c r="AA339" s="451"/>
      <c r="AB339" s="324"/>
      <c r="AP339" s="324"/>
      <c r="AQ339" s="324"/>
      <c r="AR339" s="451"/>
      <c r="AS339" s="324"/>
    </row>
    <row r="340" customFormat="false" ht="12.75" hidden="false" customHeight="false" outlineLevel="0" collapsed="false">
      <c r="G340" s="324"/>
      <c r="H340" s="324"/>
      <c r="I340" s="324"/>
      <c r="J340" s="324"/>
      <c r="K340" s="324"/>
      <c r="L340" s="324"/>
      <c r="M340" s="451"/>
      <c r="N340" s="451"/>
      <c r="O340" s="451"/>
      <c r="P340" s="324"/>
      <c r="Q340" s="324"/>
      <c r="R340" s="324"/>
      <c r="S340" s="324"/>
      <c r="T340" s="324"/>
      <c r="U340" s="324"/>
      <c r="V340" s="324"/>
      <c r="W340" s="324"/>
      <c r="X340" s="451"/>
      <c r="Y340" s="451"/>
      <c r="Z340" s="451"/>
      <c r="AA340" s="451"/>
      <c r="AB340" s="324"/>
      <c r="AP340" s="324"/>
      <c r="AQ340" s="324"/>
      <c r="AR340" s="451"/>
      <c r="AS340" s="324"/>
    </row>
    <row r="341" customFormat="false" ht="12.75" hidden="false" customHeight="false" outlineLevel="0" collapsed="false">
      <c r="G341" s="324"/>
      <c r="H341" s="324"/>
      <c r="I341" s="324"/>
      <c r="J341" s="324"/>
      <c r="K341" s="324"/>
      <c r="L341" s="324"/>
      <c r="M341" s="451"/>
      <c r="N341" s="451"/>
      <c r="O341" s="451"/>
      <c r="P341" s="324"/>
      <c r="Q341" s="324"/>
      <c r="R341" s="324"/>
      <c r="S341" s="324"/>
      <c r="T341" s="324"/>
      <c r="U341" s="324"/>
      <c r="V341" s="324"/>
      <c r="W341" s="324"/>
      <c r="X341" s="451"/>
      <c r="Y341" s="451"/>
      <c r="Z341" s="451"/>
      <c r="AA341" s="451"/>
      <c r="AB341" s="324"/>
      <c r="AP341" s="324"/>
      <c r="AQ341" s="324"/>
      <c r="AR341" s="451"/>
      <c r="AS341" s="324"/>
    </row>
    <row r="342" customFormat="false" ht="12.75" hidden="false" customHeight="false" outlineLevel="0" collapsed="false">
      <c r="G342" s="324"/>
      <c r="H342" s="324"/>
      <c r="I342" s="324"/>
      <c r="J342" s="324"/>
      <c r="K342" s="324"/>
      <c r="L342" s="324"/>
      <c r="M342" s="451"/>
      <c r="N342" s="451"/>
      <c r="O342" s="451"/>
      <c r="P342" s="324"/>
      <c r="Q342" s="324"/>
      <c r="R342" s="324"/>
      <c r="S342" s="324"/>
      <c r="T342" s="324"/>
      <c r="U342" s="324"/>
      <c r="V342" s="324"/>
      <c r="W342" s="324"/>
      <c r="X342" s="451"/>
      <c r="Y342" s="451"/>
      <c r="Z342" s="451"/>
      <c r="AA342" s="451"/>
      <c r="AB342" s="324"/>
      <c r="AP342" s="324"/>
      <c r="AQ342" s="324"/>
      <c r="AR342" s="451"/>
      <c r="AS342" s="324"/>
    </row>
    <row r="343" customFormat="false" ht="12.75" hidden="false" customHeight="false" outlineLevel="0" collapsed="false">
      <c r="G343" s="324"/>
      <c r="H343" s="324"/>
      <c r="I343" s="324"/>
      <c r="J343" s="324"/>
      <c r="K343" s="324"/>
      <c r="L343" s="324"/>
      <c r="M343" s="451"/>
      <c r="N343" s="451"/>
      <c r="O343" s="451"/>
      <c r="P343" s="324"/>
      <c r="Q343" s="324"/>
      <c r="R343" s="324"/>
      <c r="S343" s="324"/>
      <c r="T343" s="324"/>
      <c r="U343" s="324"/>
      <c r="V343" s="324"/>
      <c r="W343" s="324"/>
      <c r="X343" s="451"/>
      <c r="Y343" s="451"/>
      <c r="Z343" s="451"/>
      <c r="AA343" s="451"/>
      <c r="AB343" s="324"/>
      <c r="AP343" s="324"/>
      <c r="AQ343" s="324"/>
      <c r="AR343" s="451"/>
      <c r="AS343" s="324"/>
    </row>
    <row r="344" customFormat="false" ht="12.75" hidden="false" customHeight="false" outlineLevel="0" collapsed="false">
      <c r="G344" s="324"/>
      <c r="H344" s="324"/>
      <c r="I344" s="324"/>
      <c r="J344" s="324"/>
      <c r="K344" s="324"/>
      <c r="L344" s="324"/>
      <c r="M344" s="451"/>
      <c r="N344" s="451"/>
      <c r="O344" s="451"/>
      <c r="P344" s="324"/>
      <c r="Q344" s="324"/>
      <c r="R344" s="324"/>
      <c r="S344" s="324"/>
      <c r="T344" s="324"/>
      <c r="U344" s="324"/>
      <c r="V344" s="324"/>
      <c r="W344" s="324"/>
      <c r="X344" s="451"/>
      <c r="Y344" s="451"/>
      <c r="Z344" s="451"/>
      <c r="AA344" s="451"/>
      <c r="AB344" s="324"/>
      <c r="AP344" s="324"/>
      <c r="AQ344" s="324"/>
      <c r="AR344" s="451"/>
      <c r="AS344" s="324"/>
    </row>
    <row r="345" customFormat="false" ht="12.75" hidden="false" customHeight="false" outlineLevel="0" collapsed="false">
      <c r="G345" s="324"/>
      <c r="H345" s="324"/>
      <c r="I345" s="324"/>
      <c r="J345" s="324"/>
      <c r="K345" s="324"/>
      <c r="L345" s="324"/>
      <c r="M345" s="451"/>
      <c r="N345" s="451"/>
      <c r="O345" s="451"/>
      <c r="P345" s="324"/>
      <c r="Q345" s="324"/>
      <c r="R345" s="324"/>
      <c r="S345" s="324"/>
      <c r="T345" s="324"/>
      <c r="U345" s="324"/>
      <c r="V345" s="324"/>
      <c r="W345" s="324"/>
      <c r="X345" s="451"/>
      <c r="Y345" s="451"/>
      <c r="Z345" s="451"/>
      <c r="AA345" s="451"/>
      <c r="AB345" s="324"/>
      <c r="AP345" s="324"/>
      <c r="AQ345" s="324"/>
      <c r="AR345" s="451"/>
      <c r="AS345" s="324"/>
    </row>
    <row r="346" customFormat="false" ht="12.75" hidden="false" customHeight="false" outlineLevel="0" collapsed="false">
      <c r="G346" s="324"/>
      <c r="H346" s="324"/>
      <c r="I346" s="324"/>
      <c r="J346" s="324"/>
      <c r="K346" s="324"/>
      <c r="L346" s="324"/>
      <c r="M346" s="451"/>
      <c r="N346" s="451"/>
      <c r="O346" s="451"/>
      <c r="P346" s="324"/>
      <c r="Q346" s="324"/>
      <c r="R346" s="324"/>
      <c r="S346" s="324"/>
      <c r="T346" s="324"/>
      <c r="U346" s="324"/>
      <c r="V346" s="324"/>
      <c r="W346" s="324"/>
      <c r="X346" s="451"/>
      <c r="Y346" s="451"/>
      <c r="Z346" s="451"/>
      <c r="AA346" s="451"/>
      <c r="AB346" s="324"/>
      <c r="AP346" s="324"/>
      <c r="AQ346" s="324"/>
      <c r="AR346" s="451"/>
      <c r="AS346" s="324"/>
    </row>
    <row r="347" customFormat="false" ht="12.75" hidden="false" customHeight="false" outlineLevel="0" collapsed="false">
      <c r="G347" s="324"/>
      <c r="H347" s="324"/>
      <c r="I347" s="324"/>
      <c r="J347" s="324"/>
      <c r="K347" s="324"/>
      <c r="L347" s="324"/>
      <c r="M347" s="451"/>
      <c r="N347" s="451"/>
      <c r="O347" s="451"/>
      <c r="P347" s="324"/>
      <c r="Q347" s="324"/>
      <c r="R347" s="324"/>
      <c r="S347" s="324"/>
      <c r="T347" s="324"/>
      <c r="U347" s="324"/>
      <c r="V347" s="324"/>
      <c r="W347" s="324"/>
      <c r="X347" s="451"/>
      <c r="Y347" s="451"/>
      <c r="Z347" s="451"/>
      <c r="AA347" s="451"/>
      <c r="AB347" s="324"/>
      <c r="AP347" s="324"/>
      <c r="AQ347" s="324"/>
      <c r="AR347" s="451"/>
      <c r="AS347" s="324"/>
    </row>
    <row r="348" customFormat="false" ht="12.75" hidden="false" customHeight="false" outlineLevel="0" collapsed="false">
      <c r="G348" s="324"/>
      <c r="H348" s="324"/>
      <c r="I348" s="324"/>
      <c r="J348" s="324"/>
      <c r="K348" s="324"/>
      <c r="L348" s="324"/>
      <c r="M348" s="451"/>
      <c r="N348" s="451"/>
      <c r="O348" s="451"/>
      <c r="P348" s="324"/>
      <c r="Q348" s="324"/>
      <c r="R348" s="324"/>
      <c r="S348" s="324"/>
      <c r="T348" s="324"/>
      <c r="U348" s="324"/>
      <c r="V348" s="324"/>
      <c r="W348" s="324"/>
      <c r="X348" s="451"/>
      <c r="Y348" s="451"/>
      <c r="Z348" s="451"/>
      <c r="AA348" s="451"/>
      <c r="AB348" s="324"/>
      <c r="AP348" s="324"/>
      <c r="AQ348" s="324"/>
      <c r="AR348" s="451"/>
      <c r="AS348" s="324"/>
    </row>
    <row r="349" customFormat="false" ht="12.75" hidden="false" customHeight="false" outlineLevel="0" collapsed="false">
      <c r="G349" s="324"/>
      <c r="H349" s="324"/>
      <c r="I349" s="324"/>
      <c r="J349" s="324"/>
      <c r="K349" s="324"/>
      <c r="L349" s="324"/>
      <c r="M349" s="451"/>
      <c r="N349" s="451"/>
      <c r="O349" s="451"/>
      <c r="P349" s="324"/>
      <c r="Q349" s="324"/>
      <c r="R349" s="324"/>
      <c r="S349" s="324"/>
      <c r="T349" s="324"/>
      <c r="U349" s="324"/>
      <c r="V349" s="324"/>
      <c r="W349" s="324"/>
      <c r="X349" s="451"/>
      <c r="Y349" s="451"/>
      <c r="Z349" s="451"/>
      <c r="AA349" s="451"/>
      <c r="AB349" s="324"/>
      <c r="AP349" s="324"/>
      <c r="AQ349" s="324"/>
      <c r="AR349" s="451"/>
      <c r="AS349" s="324"/>
    </row>
    <row r="350" customFormat="false" ht="12.75" hidden="false" customHeight="false" outlineLevel="0" collapsed="false">
      <c r="G350" s="324"/>
      <c r="H350" s="324"/>
      <c r="I350" s="324"/>
      <c r="J350" s="324"/>
      <c r="K350" s="324"/>
      <c r="L350" s="324"/>
      <c r="M350" s="451"/>
      <c r="N350" s="451"/>
      <c r="O350" s="451"/>
      <c r="P350" s="324"/>
      <c r="Q350" s="324"/>
      <c r="R350" s="324"/>
      <c r="S350" s="324"/>
      <c r="T350" s="324"/>
      <c r="U350" s="324"/>
      <c r="V350" s="324"/>
      <c r="W350" s="324"/>
      <c r="X350" s="451"/>
      <c r="Y350" s="451"/>
      <c r="Z350" s="451"/>
      <c r="AA350" s="451"/>
      <c r="AB350" s="324"/>
      <c r="AP350" s="324"/>
      <c r="AQ350" s="324"/>
      <c r="AR350" s="451"/>
      <c r="AS350" s="324"/>
    </row>
    <row r="351" customFormat="false" ht="12.75" hidden="false" customHeight="false" outlineLevel="0" collapsed="false">
      <c r="G351" s="324"/>
      <c r="H351" s="324"/>
      <c r="I351" s="324"/>
      <c r="J351" s="324"/>
      <c r="K351" s="324"/>
      <c r="L351" s="324"/>
      <c r="M351" s="451"/>
      <c r="N351" s="451"/>
      <c r="O351" s="451"/>
      <c r="P351" s="324"/>
      <c r="Q351" s="324"/>
      <c r="R351" s="324"/>
      <c r="S351" s="324"/>
      <c r="T351" s="324"/>
      <c r="U351" s="324"/>
      <c r="V351" s="324"/>
      <c r="W351" s="324"/>
      <c r="X351" s="451"/>
      <c r="Y351" s="451"/>
      <c r="Z351" s="451"/>
      <c r="AA351" s="451"/>
      <c r="AB351" s="324"/>
      <c r="AP351" s="324"/>
      <c r="AQ351" s="324"/>
      <c r="AR351" s="451"/>
      <c r="AS351" s="324"/>
    </row>
    <row r="352" customFormat="false" ht="12.75" hidden="false" customHeight="false" outlineLevel="0" collapsed="false">
      <c r="G352" s="324"/>
      <c r="H352" s="324"/>
      <c r="I352" s="324"/>
      <c r="J352" s="324"/>
      <c r="K352" s="324"/>
      <c r="L352" s="324"/>
      <c r="M352" s="451"/>
      <c r="N352" s="451"/>
      <c r="O352" s="451"/>
      <c r="P352" s="324"/>
      <c r="Q352" s="324"/>
      <c r="R352" s="324"/>
      <c r="S352" s="324"/>
      <c r="T352" s="324"/>
      <c r="U352" s="324"/>
      <c r="V352" s="324"/>
      <c r="W352" s="324"/>
      <c r="X352" s="451"/>
      <c r="Y352" s="451"/>
      <c r="Z352" s="451"/>
      <c r="AA352" s="451"/>
      <c r="AB352" s="324"/>
      <c r="AP352" s="324"/>
      <c r="AQ352" s="324"/>
      <c r="AR352" s="451"/>
      <c r="AS352" s="324"/>
    </row>
    <row r="353" customFormat="false" ht="12.75" hidden="false" customHeight="false" outlineLevel="0" collapsed="false">
      <c r="G353" s="324"/>
      <c r="H353" s="324"/>
      <c r="I353" s="324"/>
      <c r="J353" s="324"/>
      <c r="K353" s="324"/>
      <c r="L353" s="324"/>
      <c r="M353" s="451"/>
      <c r="N353" s="451"/>
      <c r="O353" s="451"/>
      <c r="P353" s="324"/>
      <c r="Q353" s="324"/>
      <c r="R353" s="324"/>
      <c r="S353" s="324"/>
      <c r="T353" s="324"/>
      <c r="U353" s="324"/>
      <c r="V353" s="324"/>
      <c r="W353" s="324"/>
      <c r="X353" s="451"/>
      <c r="Y353" s="451"/>
      <c r="Z353" s="451"/>
      <c r="AA353" s="451"/>
      <c r="AB353" s="324"/>
      <c r="AP353" s="324"/>
      <c r="AQ353" s="324"/>
      <c r="AR353" s="451"/>
      <c r="AS353" s="324"/>
    </row>
    <row r="354" customFormat="false" ht="12.75" hidden="false" customHeight="false" outlineLevel="0" collapsed="false">
      <c r="G354" s="324"/>
      <c r="H354" s="324"/>
      <c r="I354" s="324"/>
      <c r="J354" s="324"/>
      <c r="K354" s="324"/>
      <c r="L354" s="324"/>
      <c r="M354" s="451"/>
      <c r="N354" s="451"/>
      <c r="O354" s="451"/>
      <c r="P354" s="324"/>
      <c r="Q354" s="324"/>
      <c r="R354" s="324"/>
      <c r="S354" s="324"/>
      <c r="T354" s="324"/>
      <c r="U354" s="324"/>
      <c r="V354" s="324"/>
      <c r="W354" s="324"/>
      <c r="X354" s="451"/>
      <c r="Y354" s="451"/>
      <c r="Z354" s="451"/>
      <c r="AA354" s="451"/>
      <c r="AB354" s="324"/>
      <c r="AP354" s="324"/>
      <c r="AQ354" s="324"/>
      <c r="AR354" s="451"/>
      <c r="AS354" s="324"/>
    </row>
    <row r="355" customFormat="false" ht="12.75" hidden="false" customHeight="false" outlineLevel="0" collapsed="false">
      <c r="G355" s="324"/>
      <c r="H355" s="324"/>
      <c r="I355" s="324"/>
      <c r="J355" s="324"/>
      <c r="K355" s="324"/>
      <c r="L355" s="324"/>
      <c r="M355" s="451"/>
      <c r="N355" s="451"/>
      <c r="O355" s="451"/>
      <c r="P355" s="324"/>
      <c r="Q355" s="324"/>
      <c r="R355" s="324"/>
      <c r="S355" s="324"/>
      <c r="T355" s="324"/>
      <c r="U355" s="324"/>
      <c r="V355" s="324"/>
      <c r="W355" s="324"/>
      <c r="X355" s="451"/>
      <c r="Y355" s="451"/>
      <c r="Z355" s="451"/>
      <c r="AA355" s="451"/>
      <c r="AB355" s="324"/>
      <c r="AP355" s="324"/>
      <c r="AQ355" s="324"/>
      <c r="AR355" s="451"/>
      <c r="AS355" s="324"/>
    </row>
    <row r="356" customFormat="false" ht="12.75" hidden="false" customHeight="false" outlineLevel="0" collapsed="false">
      <c r="G356" s="324"/>
      <c r="H356" s="324"/>
      <c r="I356" s="324"/>
      <c r="J356" s="324"/>
      <c r="K356" s="324"/>
      <c r="L356" s="324"/>
      <c r="M356" s="451"/>
      <c r="N356" s="451"/>
      <c r="O356" s="451"/>
      <c r="P356" s="324"/>
      <c r="Q356" s="324"/>
      <c r="R356" s="324"/>
      <c r="S356" s="324"/>
      <c r="T356" s="324"/>
      <c r="U356" s="324"/>
      <c r="V356" s="324"/>
      <c r="W356" s="324"/>
      <c r="X356" s="451"/>
      <c r="Y356" s="451"/>
      <c r="Z356" s="451"/>
      <c r="AA356" s="451"/>
      <c r="AB356" s="324"/>
      <c r="AP356" s="324"/>
      <c r="AQ356" s="324"/>
      <c r="AR356" s="451"/>
      <c r="AS356" s="324"/>
    </row>
    <row r="357" customFormat="false" ht="12.75" hidden="false" customHeight="false" outlineLevel="0" collapsed="false">
      <c r="G357" s="324"/>
      <c r="H357" s="324"/>
      <c r="I357" s="324"/>
      <c r="J357" s="324"/>
      <c r="K357" s="324"/>
      <c r="L357" s="324"/>
      <c r="M357" s="451"/>
      <c r="N357" s="451"/>
      <c r="O357" s="451"/>
      <c r="P357" s="324"/>
      <c r="Q357" s="324"/>
      <c r="R357" s="324"/>
      <c r="S357" s="324"/>
      <c r="T357" s="324"/>
      <c r="U357" s="324"/>
      <c r="V357" s="324"/>
      <c r="W357" s="324"/>
      <c r="X357" s="451"/>
      <c r="Y357" s="451"/>
      <c r="Z357" s="451"/>
      <c r="AA357" s="451"/>
      <c r="AB357" s="324"/>
      <c r="AP357" s="324"/>
      <c r="AQ357" s="324"/>
      <c r="AR357" s="451"/>
      <c r="AS357" s="324"/>
    </row>
    <row r="358" customFormat="false" ht="12.75" hidden="false" customHeight="false" outlineLevel="0" collapsed="false">
      <c r="G358" s="324"/>
      <c r="H358" s="324"/>
      <c r="I358" s="324"/>
      <c r="J358" s="324"/>
      <c r="K358" s="324"/>
      <c r="L358" s="324"/>
      <c r="M358" s="451"/>
      <c r="N358" s="451"/>
      <c r="O358" s="451"/>
      <c r="P358" s="324"/>
      <c r="Q358" s="324"/>
      <c r="R358" s="324"/>
      <c r="S358" s="324"/>
      <c r="T358" s="324"/>
      <c r="U358" s="324"/>
      <c r="V358" s="324"/>
      <c r="W358" s="324"/>
      <c r="X358" s="451"/>
      <c r="Y358" s="451"/>
      <c r="Z358" s="451"/>
      <c r="AA358" s="451"/>
      <c r="AB358" s="324"/>
      <c r="AP358" s="324"/>
      <c r="AQ358" s="324"/>
      <c r="AR358" s="451"/>
      <c r="AS358" s="324"/>
    </row>
    <row r="359" customFormat="false" ht="12.75" hidden="false" customHeight="false" outlineLevel="0" collapsed="false">
      <c r="G359" s="324"/>
      <c r="H359" s="324"/>
      <c r="I359" s="324"/>
      <c r="J359" s="324"/>
      <c r="K359" s="324"/>
      <c r="L359" s="324"/>
      <c r="M359" s="451"/>
      <c r="N359" s="451"/>
      <c r="O359" s="451"/>
      <c r="P359" s="324"/>
      <c r="Q359" s="324"/>
      <c r="R359" s="324"/>
      <c r="S359" s="324"/>
      <c r="T359" s="324"/>
      <c r="U359" s="324"/>
      <c r="V359" s="324"/>
      <c r="W359" s="324"/>
      <c r="X359" s="451"/>
      <c r="Y359" s="451"/>
      <c r="Z359" s="451"/>
      <c r="AA359" s="451"/>
      <c r="AB359" s="324"/>
      <c r="AP359" s="324"/>
      <c r="AQ359" s="324"/>
      <c r="AR359" s="451"/>
      <c r="AS359" s="324"/>
    </row>
    <row r="360" customFormat="false" ht="12.75" hidden="false" customHeight="false" outlineLevel="0" collapsed="false">
      <c r="G360" s="324"/>
      <c r="H360" s="324"/>
      <c r="I360" s="324"/>
      <c r="J360" s="324"/>
      <c r="K360" s="324"/>
      <c r="L360" s="324"/>
      <c r="M360" s="451"/>
      <c r="N360" s="451"/>
      <c r="O360" s="451"/>
      <c r="P360" s="324"/>
      <c r="Q360" s="324"/>
      <c r="R360" s="324"/>
      <c r="S360" s="324"/>
      <c r="T360" s="324"/>
      <c r="U360" s="324"/>
      <c r="V360" s="324"/>
      <c r="W360" s="324"/>
      <c r="X360" s="451"/>
      <c r="Y360" s="451"/>
      <c r="Z360" s="451"/>
      <c r="AA360" s="451"/>
      <c r="AB360" s="324"/>
      <c r="AP360" s="324"/>
      <c r="AQ360" s="324"/>
      <c r="AR360" s="451"/>
      <c r="AS360" s="324"/>
    </row>
    <row r="361" customFormat="false" ht="12.75" hidden="false" customHeight="false" outlineLevel="0" collapsed="false">
      <c r="G361" s="324"/>
      <c r="H361" s="324"/>
      <c r="I361" s="324"/>
      <c r="J361" s="324"/>
      <c r="K361" s="324"/>
      <c r="L361" s="324"/>
      <c r="M361" s="451"/>
      <c r="N361" s="451"/>
      <c r="O361" s="451"/>
      <c r="P361" s="324"/>
      <c r="Q361" s="324"/>
      <c r="R361" s="324"/>
      <c r="S361" s="324"/>
      <c r="T361" s="324"/>
      <c r="U361" s="324"/>
      <c r="V361" s="324"/>
      <c r="W361" s="324"/>
      <c r="X361" s="451"/>
      <c r="Y361" s="451"/>
      <c r="Z361" s="451"/>
      <c r="AA361" s="451"/>
      <c r="AB361" s="324"/>
      <c r="AP361" s="324"/>
      <c r="AQ361" s="324"/>
      <c r="AR361" s="451"/>
      <c r="AS361" s="324"/>
    </row>
    <row r="362" customFormat="false" ht="12.75" hidden="false" customHeight="false" outlineLevel="0" collapsed="false">
      <c r="G362" s="324"/>
      <c r="H362" s="324"/>
      <c r="I362" s="324"/>
      <c r="J362" s="324"/>
      <c r="K362" s="324"/>
      <c r="L362" s="324"/>
      <c r="M362" s="451"/>
      <c r="N362" s="451"/>
      <c r="O362" s="451"/>
      <c r="P362" s="324"/>
      <c r="Q362" s="324"/>
      <c r="R362" s="324"/>
      <c r="S362" s="324"/>
      <c r="T362" s="324"/>
      <c r="U362" s="324"/>
      <c r="V362" s="324"/>
      <c r="W362" s="324"/>
      <c r="X362" s="451"/>
      <c r="Y362" s="451"/>
      <c r="Z362" s="451"/>
      <c r="AA362" s="451"/>
      <c r="AB362" s="324"/>
      <c r="AP362" s="324"/>
      <c r="AQ362" s="324"/>
      <c r="AR362" s="451"/>
      <c r="AS362" s="324"/>
    </row>
    <row r="363" customFormat="false" ht="12.75" hidden="false" customHeight="false" outlineLevel="0" collapsed="false">
      <c r="G363" s="324"/>
      <c r="H363" s="324"/>
      <c r="I363" s="324"/>
      <c r="J363" s="324"/>
      <c r="K363" s="324"/>
      <c r="L363" s="324"/>
      <c r="M363" s="451"/>
      <c r="N363" s="451"/>
      <c r="O363" s="451"/>
      <c r="P363" s="324"/>
      <c r="Q363" s="324"/>
      <c r="R363" s="324"/>
      <c r="S363" s="324"/>
      <c r="T363" s="324"/>
      <c r="U363" s="324"/>
      <c r="V363" s="324"/>
      <c r="W363" s="324"/>
      <c r="X363" s="451"/>
      <c r="Y363" s="451"/>
      <c r="Z363" s="451"/>
      <c r="AA363" s="451"/>
      <c r="AB363" s="324"/>
      <c r="AP363" s="324"/>
      <c r="AQ363" s="324"/>
      <c r="AR363" s="451"/>
      <c r="AS363" s="324"/>
    </row>
    <row r="364" customFormat="false" ht="12.75" hidden="false" customHeight="false" outlineLevel="0" collapsed="false">
      <c r="G364" s="324"/>
      <c r="H364" s="324"/>
      <c r="I364" s="324"/>
      <c r="J364" s="324"/>
      <c r="K364" s="324"/>
      <c r="L364" s="324"/>
      <c r="M364" s="451"/>
      <c r="N364" s="451"/>
      <c r="O364" s="451"/>
      <c r="P364" s="324"/>
      <c r="Q364" s="324"/>
      <c r="R364" s="324"/>
      <c r="S364" s="324"/>
      <c r="T364" s="324"/>
      <c r="U364" s="324"/>
      <c r="V364" s="324"/>
      <c r="W364" s="324"/>
      <c r="X364" s="451"/>
      <c r="Y364" s="451"/>
      <c r="Z364" s="451"/>
      <c r="AA364" s="451"/>
      <c r="AB364" s="324"/>
      <c r="AP364" s="324"/>
      <c r="AQ364" s="324"/>
      <c r="AR364" s="451"/>
      <c r="AS364" s="324"/>
    </row>
    <row r="365" customFormat="false" ht="12.75" hidden="false" customHeight="false" outlineLevel="0" collapsed="false">
      <c r="G365" s="324"/>
      <c r="H365" s="324"/>
      <c r="I365" s="324"/>
      <c r="J365" s="324"/>
      <c r="K365" s="324"/>
      <c r="L365" s="324"/>
      <c r="M365" s="451"/>
      <c r="N365" s="451"/>
      <c r="O365" s="451"/>
      <c r="P365" s="324"/>
      <c r="Q365" s="324"/>
      <c r="R365" s="324"/>
      <c r="S365" s="324"/>
      <c r="T365" s="324"/>
      <c r="U365" s="324"/>
      <c r="V365" s="324"/>
      <c r="W365" s="324"/>
      <c r="X365" s="451"/>
      <c r="Y365" s="451"/>
      <c r="Z365" s="451"/>
      <c r="AA365" s="451"/>
      <c r="AB365" s="324"/>
      <c r="AP365" s="324"/>
      <c r="AQ365" s="324"/>
      <c r="AR365" s="451"/>
      <c r="AS365" s="324"/>
    </row>
    <row r="366" customFormat="false" ht="12.75" hidden="false" customHeight="false" outlineLevel="0" collapsed="false">
      <c r="G366" s="324"/>
      <c r="H366" s="324"/>
      <c r="I366" s="324"/>
      <c r="J366" s="324"/>
      <c r="K366" s="324"/>
      <c r="L366" s="324"/>
      <c r="M366" s="451"/>
      <c r="N366" s="451"/>
      <c r="O366" s="451"/>
      <c r="P366" s="324"/>
      <c r="Q366" s="324"/>
      <c r="R366" s="324"/>
      <c r="S366" s="324"/>
      <c r="T366" s="324"/>
      <c r="U366" s="324"/>
      <c r="V366" s="324"/>
      <c r="W366" s="324"/>
      <c r="X366" s="451"/>
      <c r="Y366" s="451"/>
      <c r="Z366" s="451"/>
      <c r="AA366" s="451"/>
      <c r="AB366" s="324"/>
      <c r="AP366" s="324"/>
      <c r="AQ366" s="324"/>
      <c r="AR366" s="451"/>
      <c r="AS366" s="324"/>
    </row>
    <row r="367" customFormat="false" ht="12.75" hidden="false" customHeight="false" outlineLevel="0" collapsed="false">
      <c r="G367" s="324"/>
      <c r="H367" s="324"/>
      <c r="I367" s="324"/>
      <c r="J367" s="324"/>
      <c r="K367" s="324"/>
      <c r="L367" s="324"/>
      <c r="M367" s="451"/>
      <c r="N367" s="451"/>
      <c r="O367" s="451"/>
      <c r="P367" s="324"/>
      <c r="Q367" s="324"/>
      <c r="R367" s="324"/>
      <c r="S367" s="324"/>
      <c r="T367" s="324"/>
      <c r="U367" s="324"/>
      <c r="V367" s="324"/>
      <c r="W367" s="324"/>
      <c r="X367" s="451"/>
      <c r="Y367" s="451"/>
      <c r="Z367" s="451"/>
      <c r="AA367" s="451"/>
      <c r="AB367" s="324"/>
      <c r="AP367" s="324"/>
      <c r="AQ367" s="324"/>
      <c r="AR367" s="451"/>
      <c r="AS367" s="324"/>
    </row>
    <row r="368" customFormat="false" ht="12.75" hidden="false" customHeight="false" outlineLevel="0" collapsed="false">
      <c r="G368" s="324"/>
      <c r="H368" s="324"/>
      <c r="I368" s="324"/>
      <c r="J368" s="324"/>
      <c r="K368" s="324"/>
      <c r="L368" s="324"/>
      <c r="M368" s="451"/>
      <c r="N368" s="451"/>
      <c r="O368" s="451"/>
      <c r="P368" s="324"/>
      <c r="Q368" s="324"/>
      <c r="R368" s="324"/>
      <c r="S368" s="324"/>
      <c r="T368" s="324"/>
      <c r="U368" s="324"/>
      <c r="V368" s="324"/>
      <c r="W368" s="324"/>
      <c r="X368" s="451"/>
      <c r="Y368" s="451"/>
      <c r="Z368" s="451"/>
      <c r="AA368" s="451"/>
      <c r="AB368" s="324"/>
      <c r="AP368" s="324"/>
      <c r="AQ368" s="324"/>
      <c r="AR368" s="451"/>
      <c r="AS368" s="324"/>
    </row>
    <row r="369" customFormat="false" ht="12.75" hidden="false" customHeight="false" outlineLevel="0" collapsed="false">
      <c r="G369" s="324"/>
      <c r="H369" s="324"/>
      <c r="I369" s="324"/>
      <c r="J369" s="324"/>
      <c r="K369" s="324"/>
      <c r="L369" s="324"/>
      <c r="M369" s="451"/>
      <c r="N369" s="451"/>
      <c r="O369" s="451"/>
      <c r="P369" s="324"/>
      <c r="Q369" s="324"/>
      <c r="R369" s="324"/>
      <c r="S369" s="324"/>
      <c r="T369" s="324"/>
      <c r="U369" s="324"/>
      <c r="V369" s="324"/>
      <c r="W369" s="324"/>
      <c r="X369" s="451"/>
      <c r="Y369" s="451"/>
      <c r="Z369" s="451"/>
      <c r="AA369" s="451"/>
      <c r="AB369" s="324"/>
      <c r="AP369" s="324"/>
      <c r="AQ369" s="324"/>
      <c r="AR369" s="451"/>
      <c r="AS369" s="324"/>
    </row>
    <row r="370" customFormat="false" ht="12.75" hidden="false" customHeight="false" outlineLevel="0" collapsed="false">
      <c r="G370" s="324"/>
      <c r="H370" s="324"/>
      <c r="I370" s="324"/>
      <c r="J370" s="324"/>
      <c r="K370" s="324"/>
      <c r="L370" s="324"/>
      <c r="M370" s="451"/>
      <c r="N370" s="451"/>
      <c r="O370" s="451"/>
      <c r="P370" s="324"/>
      <c r="Q370" s="324"/>
      <c r="R370" s="324"/>
      <c r="S370" s="324"/>
      <c r="T370" s="324"/>
      <c r="U370" s="324"/>
      <c r="V370" s="324"/>
      <c r="W370" s="324"/>
      <c r="X370" s="451"/>
      <c r="Y370" s="451"/>
      <c r="Z370" s="451"/>
      <c r="AA370" s="451"/>
      <c r="AB370" s="324"/>
      <c r="AP370" s="324"/>
      <c r="AQ370" s="324"/>
      <c r="AR370" s="451"/>
      <c r="AS370" s="324"/>
    </row>
    <row r="371" customFormat="false" ht="12.75" hidden="false" customHeight="false" outlineLevel="0" collapsed="false">
      <c r="G371" s="324"/>
      <c r="H371" s="324"/>
      <c r="I371" s="324"/>
      <c r="J371" s="324"/>
      <c r="K371" s="324"/>
      <c r="L371" s="324"/>
      <c r="M371" s="451"/>
      <c r="N371" s="451"/>
      <c r="O371" s="451"/>
      <c r="P371" s="324"/>
      <c r="Q371" s="324"/>
      <c r="R371" s="324"/>
      <c r="S371" s="324"/>
      <c r="T371" s="324"/>
      <c r="U371" s="324"/>
      <c r="V371" s="324"/>
      <c r="W371" s="324"/>
      <c r="X371" s="451"/>
      <c r="Y371" s="451"/>
      <c r="Z371" s="451"/>
      <c r="AA371" s="451"/>
      <c r="AB371" s="324"/>
      <c r="AP371" s="324"/>
      <c r="AQ371" s="324"/>
      <c r="AR371" s="451"/>
      <c r="AS371" s="324"/>
    </row>
    <row r="372" customFormat="false" ht="12.75" hidden="false" customHeight="false" outlineLevel="0" collapsed="false">
      <c r="G372" s="324"/>
      <c r="H372" s="324"/>
      <c r="I372" s="324"/>
      <c r="J372" s="324"/>
      <c r="K372" s="324"/>
      <c r="L372" s="324"/>
      <c r="M372" s="451"/>
      <c r="N372" s="451"/>
      <c r="O372" s="451"/>
      <c r="P372" s="324"/>
      <c r="Q372" s="324"/>
      <c r="R372" s="324"/>
      <c r="S372" s="324"/>
      <c r="T372" s="324"/>
      <c r="U372" s="324"/>
      <c r="V372" s="324"/>
      <c r="W372" s="324"/>
      <c r="X372" s="451"/>
      <c r="Y372" s="451"/>
      <c r="Z372" s="451"/>
      <c r="AA372" s="451"/>
      <c r="AB372" s="324"/>
      <c r="AP372" s="324"/>
      <c r="AQ372" s="324"/>
      <c r="AR372" s="451"/>
      <c r="AS372" s="324"/>
    </row>
    <row r="373" customFormat="false" ht="12.75" hidden="false" customHeight="false" outlineLevel="0" collapsed="false">
      <c r="G373" s="324"/>
      <c r="H373" s="324"/>
      <c r="I373" s="324"/>
      <c r="J373" s="324"/>
      <c r="K373" s="324"/>
      <c r="L373" s="324"/>
      <c r="M373" s="451"/>
      <c r="N373" s="451"/>
      <c r="O373" s="451"/>
      <c r="P373" s="324"/>
      <c r="Q373" s="324"/>
      <c r="R373" s="324"/>
      <c r="S373" s="324"/>
      <c r="T373" s="324"/>
      <c r="U373" s="324"/>
      <c r="V373" s="324"/>
      <c r="W373" s="324"/>
      <c r="X373" s="451"/>
      <c r="Y373" s="451"/>
      <c r="Z373" s="451"/>
      <c r="AA373" s="451"/>
      <c r="AB373" s="324"/>
      <c r="AP373" s="324"/>
      <c r="AQ373" s="324"/>
      <c r="AR373" s="451"/>
      <c r="AS373" s="324"/>
    </row>
    <row r="374" customFormat="false" ht="12.75" hidden="false" customHeight="false" outlineLevel="0" collapsed="false">
      <c r="G374" s="324"/>
      <c r="H374" s="324"/>
      <c r="I374" s="324"/>
      <c r="J374" s="324"/>
      <c r="K374" s="324"/>
      <c r="L374" s="324"/>
      <c r="M374" s="451"/>
      <c r="N374" s="451"/>
      <c r="O374" s="451"/>
      <c r="P374" s="324"/>
      <c r="Q374" s="324"/>
      <c r="R374" s="324"/>
      <c r="S374" s="324"/>
      <c r="T374" s="324"/>
      <c r="U374" s="324"/>
      <c r="V374" s="324"/>
      <c r="W374" s="324"/>
      <c r="X374" s="451"/>
      <c r="Y374" s="451"/>
      <c r="Z374" s="451"/>
      <c r="AA374" s="451"/>
      <c r="AB374" s="324"/>
      <c r="AP374" s="324"/>
      <c r="AQ374" s="324"/>
      <c r="AR374" s="451"/>
      <c r="AS374" s="324"/>
    </row>
    <row r="375" customFormat="false" ht="12.75" hidden="false" customHeight="false" outlineLevel="0" collapsed="false">
      <c r="G375" s="324"/>
      <c r="H375" s="324"/>
      <c r="I375" s="324"/>
      <c r="J375" s="324"/>
      <c r="K375" s="324"/>
      <c r="L375" s="324"/>
      <c r="M375" s="451"/>
      <c r="N375" s="451"/>
      <c r="O375" s="451"/>
      <c r="P375" s="324"/>
      <c r="Q375" s="324"/>
      <c r="R375" s="324"/>
      <c r="S375" s="324"/>
      <c r="T375" s="324"/>
      <c r="U375" s="324"/>
      <c r="V375" s="324"/>
      <c r="W375" s="324"/>
      <c r="X375" s="451"/>
      <c r="Y375" s="451"/>
      <c r="Z375" s="451"/>
      <c r="AA375" s="451"/>
      <c r="AB375" s="324"/>
      <c r="AP375" s="324"/>
      <c r="AQ375" s="324"/>
      <c r="AR375" s="451"/>
      <c r="AS375" s="324"/>
    </row>
    <row r="376" customFormat="false" ht="12.75" hidden="false" customHeight="false" outlineLevel="0" collapsed="false">
      <c r="G376" s="324"/>
      <c r="H376" s="324"/>
      <c r="I376" s="324"/>
      <c r="J376" s="324"/>
      <c r="K376" s="324"/>
      <c r="L376" s="324"/>
      <c r="M376" s="451"/>
      <c r="N376" s="451"/>
      <c r="O376" s="451"/>
      <c r="P376" s="324"/>
      <c r="Q376" s="324"/>
      <c r="R376" s="324"/>
      <c r="S376" s="324"/>
      <c r="T376" s="324"/>
      <c r="U376" s="324"/>
      <c r="V376" s="324"/>
      <c r="W376" s="324"/>
      <c r="X376" s="451"/>
      <c r="Y376" s="451"/>
      <c r="Z376" s="451"/>
      <c r="AA376" s="451"/>
      <c r="AB376" s="324"/>
      <c r="AP376" s="324"/>
      <c r="AQ376" s="324"/>
      <c r="AR376" s="451"/>
      <c r="AS376" s="324"/>
    </row>
    <row r="377" customFormat="false" ht="12.75" hidden="false" customHeight="false" outlineLevel="0" collapsed="false">
      <c r="G377" s="324"/>
      <c r="H377" s="324"/>
      <c r="I377" s="324"/>
      <c r="J377" s="324"/>
      <c r="K377" s="324"/>
      <c r="L377" s="324"/>
      <c r="M377" s="451"/>
      <c r="N377" s="451"/>
      <c r="O377" s="451"/>
      <c r="P377" s="324"/>
      <c r="Q377" s="324"/>
      <c r="R377" s="324"/>
      <c r="S377" s="324"/>
      <c r="T377" s="324"/>
      <c r="U377" s="324"/>
      <c r="V377" s="324"/>
      <c r="W377" s="324"/>
      <c r="X377" s="451"/>
      <c r="Y377" s="451"/>
      <c r="Z377" s="451"/>
      <c r="AA377" s="451"/>
      <c r="AB377" s="324"/>
      <c r="AP377" s="324"/>
      <c r="AQ377" s="324"/>
      <c r="AR377" s="451"/>
      <c r="AS377" s="324"/>
    </row>
    <row r="378" customFormat="false" ht="12.75" hidden="false" customHeight="false" outlineLevel="0" collapsed="false">
      <c r="G378" s="324"/>
      <c r="H378" s="324"/>
      <c r="I378" s="324"/>
      <c r="J378" s="324"/>
      <c r="K378" s="324"/>
      <c r="L378" s="324"/>
      <c r="M378" s="451"/>
      <c r="N378" s="451"/>
      <c r="O378" s="451"/>
      <c r="P378" s="324"/>
      <c r="Q378" s="324"/>
      <c r="R378" s="324"/>
      <c r="S378" s="324"/>
      <c r="T378" s="324"/>
      <c r="U378" s="324"/>
      <c r="V378" s="324"/>
      <c r="W378" s="324"/>
      <c r="X378" s="451"/>
      <c r="Y378" s="451"/>
      <c r="Z378" s="451"/>
      <c r="AA378" s="451"/>
      <c r="AB378" s="324"/>
      <c r="AP378" s="324"/>
      <c r="AQ378" s="324"/>
      <c r="AR378" s="451"/>
      <c r="AS378" s="324"/>
    </row>
    <row r="379" customFormat="false" ht="12.75" hidden="false" customHeight="false" outlineLevel="0" collapsed="false">
      <c r="G379" s="324"/>
      <c r="H379" s="324"/>
      <c r="I379" s="324"/>
      <c r="J379" s="324"/>
      <c r="K379" s="324"/>
      <c r="L379" s="324"/>
      <c r="M379" s="451"/>
      <c r="N379" s="451"/>
      <c r="O379" s="451"/>
      <c r="P379" s="324"/>
      <c r="Q379" s="324"/>
      <c r="R379" s="324"/>
      <c r="S379" s="324"/>
      <c r="T379" s="324"/>
      <c r="U379" s="324"/>
      <c r="V379" s="324"/>
      <c r="W379" s="324"/>
      <c r="X379" s="451"/>
      <c r="Y379" s="451"/>
      <c r="Z379" s="451"/>
      <c r="AA379" s="451"/>
      <c r="AB379" s="324"/>
      <c r="AP379" s="324"/>
      <c r="AQ379" s="324"/>
      <c r="AR379" s="451"/>
      <c r="AS379" s="324"/>
    </row>
    <row r="380" customFormat="false" ht="12.75" hidden="false" customHeight="false" outlineLevel="0" collapsed="false">
      <c r="G380" s="324"/>
      <c r="H380" s="324"/>
      <c r="I380" s="324"/>
      <c r="J380" s="324"/>
      <c r="K380" s="324"/>
      <c r="L380" s="324"/>
      <c r="M380" s="451"/>
      <c r="N380" s="451"/>
      <c r="O380" s="451"/>
      <c r="P380" s="324"/>
      <c r="Q380" s="324"/>
      <c r="R380" s="324"/>
      <c r="S380" s="324"/>
      <c r="T380" s="324"/>
      <c r="U380" s="324"/>
      <c r="V380" s="324"/>
      <c r="W380" s="324"/>
      <c r="X380" s="451"/>
      <c r="Y380" s="451"/>
      <c r="Z380" s="451"/>
      <c r="AA380" s="451"/>
      <c r="AB380" s="324"/>
      <c r="AP380" s="324"/>
      <c r="AQ380" s="324"/>
      <c r="AR380" s="451"/>
      <c r="AS380" s="324"/>
    </row>
    <row r="381" customFormat="false" ht="12.75" hidden="false" customHeight="false" outlineLevel="0" collapsed="false">
      <c r="G381" s="324"/>
      <c r="H381" s="324"/>
      <c r="I381" s="324"/>
      <c r="J381" s="324"/>
      <c r="K381" s="324"/>
      <c r="L381" s="324"/>
      <c r="M381" s="451"/>
      <c r="N381" s="451"/>
      <c r="O381" s="451"/>
      <c r="P381" s="324"/>
      <c r="Q381" s="324"/>
      <c r="R381" s="324"/>
      <c r="S381" s="324"/>
      <c r="T381" s="324"/>
      <c r="U381" s="324"/>
      <c r="V381" s="324"/>
      <c r="W381" s="324"/>
      <c r="X381" s="451"/>
      <c r="Y381" s="451"/>
      <c r="Z381" s="451"/>
      <c r="AA381" s="451"/>
      <c r="AB381" s="324"/>
      <c r="AP381" s="324"/>
      <c r="AQ381" s="324"/>
      <c r="AR381" s="451"/>
      <c r="AS381" s="324"/>
    </row>
    <row r="382" customFormat="false" ht="12.75" hidden="false" customHeight="false" outlineLevel="0" collapsed="false">
      <c r="G382" s="324"/>
      <c r="H382" s="324"/>
      <c r="I382" s="324"/>
      <c r="J382" s="324"/>
      <c r="K382" s="324"/>
      <c r="L382" s="324"/>
      <c r="M382" s="451"/>
      <c r="N382" s="451"/>
      <c r="O382" s="451"/>
      <c r="P382" s="324"/>
      <c r="Q382" s="324"/>
      <c r="R382" s="324"/>
      <c r="S382" s="324"/>
      <c r="T382" s="324"/>
      <c r="U382" s="324"/>
      <c r="V382" s="324"/>
      <c r="W382" s="324"/>
      <c r="X382" s="451"/>
      <c r="Y382" s="451"/>
      <c r="Z382" s="451"/>
      <c r="AA382" s="451"/>
      <c r="AB382" s="324"/>
      <c r="AP382" s="324"/>
      <c r="AQ382" s="324"/>
      <c r="AR382" s="451"/>
      <c r="AS382" s="324"/>
    </row>
    <row r="383" customFormat="false" ht="12.75" hidden="false" customHeight="false" outlineLevel="0" collapsed="false">
      <c r="G383" s="324"/>
      <c r="H383" s="324"/>
      <c r="I383" s="324"/>
      <c r="J383" s="324"/>
      <c r="K383" s="324"/>
      <c r="L383" s="324"/>
      <c r="M383" s="451"/>
      <c r="N383" s="451"/>
      <c r="O383" s="451"/>
      <c r="P383" s="324"/>
      <c r="Q383" s="324"/>
      <c r="R383" s="324"/>
      <c r="S383" s="324"/>
      <c r="T383" s="324"/>
      <c r="U383" s="324"/>
      <c r="V383" s="324"/>
      <c r="W383" s="324"/>
      <c r="X383" s="451"/>
      <c r="Y383" s="451"/>
      <c r="Z383" s="451"/>
      <c r="AA383" s="451"/>
      <c r="AB383" s="324"/>
      <c r="AP383" s="324"/>
      <c r="AQ383" s="324"/>
      <c r="AR383" s="451"/>
      <c r="AS383" s="324"/>
    </row>
    <row r="384" customFormat="false" ht="12.75" hidden="false" customHeight="false" outlineLevel="0" collapsed="false">
      <c r="G384" s="324"/>
      <c r="H384" s="324"/>
      <c r="I384" s="324"/>
      <c r="J384" s="324"/>
      <c r="K384" s="324"/>
      <c r="L384" s="324"/>
      <c r="M384" s="451"/>
      <c r="N384" s="451"/>
      <c r="O384" s="451"/>
      <c r="P384" s="324"/>
      <c r="Q384" s="324"/>
      <c r="R384" s="324"/>
      <c r="S384" s="324"/>
      <c r="T384" s="324"/>
      <c r="U384" s="324"/>
      <c r="V384" s="324"/>
      <c r="W384" s="324"/>
      <c r="X384" s="451"/>
      <c r="Y384" s="451"/>
      <c r="Z384" s="451"/>
      <c r="AA384" s="451"/>
      <c r="AB384" s="324"/>
      <c r="AP384" s="324"/>
      <c r="AQ384" s="324"/>
      <c r="AR384" s="451"/>
      <c r="AS384" s="324"/>
    </row>
    <row r="385" customFormat="false" ht="12.75" hidden="false" customHeight="false" outlineLevel="0" collapsed="false">
      <c r="G385" s="324"/>
      <c r="H385" s="324"/>
      <c r="I385" s="324"/>
      <c r="J385" s="324"/>
      <c r="K385" s="324"/>
      <c r="L385" s="324"/>
      <c r="M385" s="451"/>
      <c r="N385" s="451"/>
      <c r="O385" s="451"/>
      <c r="P385" s="324"/>
      <c r="Q385" s="324"/>
      <c r="R385" s="324"/>
      <c r="S385" s="324"/>
      <c r="T385" s="324"/>
      <c r="U385" s="324"/>
      <c r="V385" s="324"/>
      <c r="W385" s="324"/>
      <c r="X385" s="451"/>
      <c r="Y385" s="451"/>
      <c r="Z385" s="451"/>
      <c r="AA385" s="451"/>
      <c r="AB385" s="324"/>
      <c r="AP385" s="324"/>
      <c r="AQ385" s="324"/>
      <c r="AR385" s="451"/>
      <c r="AS385" s="324"/>
    </row>
    <row r="386" customFormat="false" ht="12.75" hidden="false" customHeight="false" outlineLevel="0" collapsed="false">
      <c r="G386" s="324"/>
      <c r="H386" s="324"/>
      <c r="I386" s="324"/>
      <c r="J386" s="324"/>
      <c r="K386" s="324"/>
      <c r="L386" s="324"/>
      <c r="M386" s="451"/>
      <c r="N386" s="451"/>
      <c r="O386" s="451"/>
      <c r="P386" s="324"/>
      <c r="Q386" s="324"/>
      <c r="R386" s="324"/>
      <c r="S386" s="324"/>
      <c r="T386" s="324"/>
      <c r="U386" s="324"/>
      <c r="V386" s="324"/>
      <c r="W386" s="324"/>
      <c r="X386" s="451"/>
      <c r="Y386" s="451"/>
      <c r="Z386" s="451"/>
      <c r="AA386" s="451"/>
      <c r="AB386" s="324"/>
      <c r="AP386" s="324"/>
      <c r="AQ386" s="324"/>
      <c r="AR386" s="451"/>
      <c r="AS386" s="324"/>
    </row>
    <row r="387" customFormat="false" ht="12.75" hidden="false" customHeight="false" outlineLevel="0" collapsed="false">
      <c r="G387" s="324"/>
      <c r="H387" s="324"/>
      <c r="I387" s="324"/>
      <c r="J387" s="324"/>
      <c r="K387" s="324"/>
      <c r="L387" s="324"/>
      <c r="M387" s="451"/>
      <c r="N387" s="451"/>
      <c r="O387" s="451"/>
      <c r="P387" s="324"/>
      <c r="Q387" s="324"/>
      <c r="R387" s="324"/>
      <c r="S387" s="324"/>
      <c r="T387" s="324"/>
      <c r="U387" s="324"/>
      <c r="V387" s="324"/>
      <c r="W387" s="324"/>
      <c r="X387" s="451"/>
      <c r="Y387" s="451"/>
      <c r="Z387" s="451"/>
      <c r="AA387" s="451"/>
      <c r="AB387" s="324"/>
      <c r="AP387" s="324"/>
      <c r="AQ387" s="324"/>
      <c r="AR387" s="451"/>
      <c r="AS387" s="324"/>
    </row>
    <row r="388" customFormat="false" ht="12.75" hidden="false" customHeight="false" outlineLevel="0" collapsed="false">
      <c r="G388" s="324"/>
      <c r="H388" s="324"/>
      <c r="I388" s="324"/>
      <c r="J388" s="324"/>
      <c r="K388" s="324"/>
      <c r="L388" s="324"/>
      <c r="M388" s="451"/>
      <c r="N388" s="451"/>
      <c r="O388" s="451"/>
      <c r="P388" s="324"/>
      <c r="Q388" s="324"/>
      <c r="R388" s="324"/>
      <c r="S388" s="324"/>
      <c r="T388" s="324"/>
      <c r="U388" s="324"/>
      <c r="V388" s="324"/>
      <c r="W388" s="324"/>
      <c r="X388" s="451"/>
      <c r="Y388" s="451"/>
      <c r="Z388" s="451"/>
      <c r="AA388" s="451"/>
      <c r="AB388" s="324"/>
      <c r="AP388" s="324"/>
      <c r="AQ388" s="324"/>
      <c r="AR388" s="451"/>
      <c r="AS388" s="324"/>
    </row>
    <row r="389" customFormat="false" ht="12.75" hidden="false" customHeight="false" outlineLevel="0" collapsed="false">
      <c r="G389" s="324"/>
      <c r="H389" s="324"/>
      <c r="I389" s="324"/>
      <c r="J389" s="324"/>
      <c r="K389" s="324"/>
      <c r="L389" s="324"/>
      <c r="M389" s="451"/>
      <c r="N389" s="451"/>
      <c r="O389" s="451"/>
      <c r="P389" s="324"/>
      <c r="Q389" s="324"/>
      <c r="R389" s="324"/>
      <c r="S389" s="324"/>
      <c r="T389" s="324"/>
      <c r="U389" s="324"/>
      <c r="V389" s="324"/>
      <c r="W389" s="324"/>
      <c r="X389" s="451"/>
      <c r="Y389" s="451"/>
      <c r="Z389" s="451"/>
      <c r="AA389" s="451"/>
      <c r="AB389" s="324"/>
      <c r="AP389" s="324"/>
      <c r="AQ389" s="324"/>
      <c r="AR389" s="451"/>
      <c r="AS389" s="324"/>
    </row>
    <row r="390" customFormat="false" ht="12.75" hidden="false" customHeight="false" outlineLevel="0" collapsed="false">
      <c r="G390" s="324"/>
      <c r="H390" s="324"/>
      <c r="I390" s="324"/>
      <c r="J390" s="324"/>
      <c r="K390" s="324"/>
      <c r="L390" s="324"/>
      <c r="M390" s="451"/>
      <c r="N390" s="451"/>
      <c r="O390" s="451"/>
      <c r="P390" s="324"/>
      <c r="Q390" s="324"/>
      <c r="R390" s="324"/>
      <c r="S390" s="324"/>
      <c r="T390" s="324"/>
      <c r="U390" s="324"/>
      <c r="V390" s="324"/>
      <c r="W390" s="324"/>
      <c r="X390" s="451"/>
      <c r="Y390" s="451"/>
      <c r="Z390" s="451"/>
      <c r="AA390" s="451"/>
      <c r="AB390" s="324"/>
      <c r="AP390" s="324"/>
      <c r="AQ390" s="324"/>
      <c r="AR390" s="451"/>
      <c r="AS390" s="324"/>
    </row>
    <row r="391" customFormat="false" ht="12.75" hidden="false" customHeight="false" outlineLevel="0" collapsed="false">
      <c r="G391" s="324"/>
      <c r="H391" s="324"/>
      <c r="I391" s="324"/>
      <c r="J391" s="324"/>
      <c r="K391" s="324"/>
      <c r="L391" s="324"/>
      <c r="M391" s="451"/>
      <c r="N391" s="451"/>
      <c r="O391" s="451"/>
      <c r="P391" s="324"/>
      <c r="Q391" s="324"/>
      <c r="R391" s="324"/>
      <c r="S391" s="324"/>
      <c r="T391" s="324"/>
      <c r="U391" s="324"/>
      <c r="V391" s="324"/>
      <c r="W391" s="324"/>
      <c r="X391" s="451"/>
      <c r="Y391" s="451"/>
      <c r="Z391" s="451"/>
      <c r="AA391" s="451"/>
      <c r="AB391" s="324"/>
      <c r="AP391" s="324"/>
      <c r="AQ391" s="324"/>
      <c r="AR391" s="451"/>
      <c r="AS391" s="324"/>
    </row>
    <row r="392" customFormat="false" ht="12.75" hidden="false" customHeight="false" outlineLevel="0" collapsed="false">
      <c r="G392" s="324"/>
      <c r="H392" s="324"/>
      <c r="I392" s="324"/>
      <c r="J392" s="324"/>
      <c r="K392" s="324"/>
      <c r="L392" s="324"/>
      <c r="M392" s="451"/>
      <c r="N392" s="451"/>
      <c r="O392" s="451"/>
      <c r="P392" s="324"/>
      <c r="Q392" s="324"/>
      <c r="R392" s="324"/>
      <c r="S392" s="324"/>
      <c r="T392" s="324"/>
      <c r="U392" s="324"/>
      <c r="V392" s="324"/>
      <c r="W392" s="324"/>
      <c r="X392" s="451"/>
      <c r="Y392" s="451"/>
      <c r="Z392" s="451"/>
      <c r="AA392" s="451"/>
      <c r="AB392" s="324"/>
      <c r="AP392" s="324"/>
      <c r="AQ392" s="324"/>
      <c r="AR392" s="451"/>
      <c r="AS392" s="324"/>
    </row>
    <row r="393" customFormat="false" ht="12.75" hidden="false" customHeight="false" outlineLevel="0" collapsed="false">
      <c r="G393" s="324"/>
      <c r="H393" s="324"/>
      <c r="I393" s="324"/>
      <c r="J393" s="324"/>
      <c r="K393" s="324"/>
      <c r="L393" s="324"/>
      <c r="M393" s="451"/>
      <c r="N393" s="451"/>
      <c r="O393" s="451"/>
      <c r="P393" s="324"/>
      <c r="Q393" s="324"/>
      <c r="R393" s="324"/>
      <c r="S393" s="324"/>
      <c r="T393" s="324"/>
      <c r="U393" s="324"/>
      <c r="V393" s="324"/>
      <c r="W393" s="324"/>
      <c r="X393" s="451"/>
      <c r="Y393" s="451"/>
      <c r="Z393" s="451"/>
      <c r="AA393" s="451"/>
      <c r="AB393" s="324"/>
      <c r="AP393" s="324"/>
      <c r="AQ393" s="324"/>
      <c r="AR393" s="451"/>
      <c r="AS393" s="324"/>
    </row>
    <row r="394" customFormat="false" ht="12.75" hidden="false" customHeight="false" outlineLevel="0" collapsed="false">
      <c r="G394" s="324"/>
      <c r="H394" s="324"/>
      <c r="I394" s="324"/>
      <c r="J394" s="324"/>
      <c r="K394" s="324"/>
      <c r="L394" s="324"/>
      <c r="M394" s="451"/>
      <c r="N394" s="451"/>
      <c r="O394" s="451"/>
      <c r="P394" s="324"/>
      <c r="Q394" s="324"/>
      <c r="R394" s="324"/>
      <c r="S394" s="324"/>
      <c r="T394" s="324"/>
      <c r="U394" s="324"/>
      <c r="V394" s="324"/>
      <c r="W394" s="324"/>
      <c r="X394" s="451"/>
      <c r="Y394" s="451"/>
      <c r="Z394" s="451"/>
      <c r="AA394" s="451"/>
      <c r="AB394" s="324"/>
      <c r="AP394" s="324"/>
      <c r="AQ394" s="324"/>
      <c r="AR394" s="451"/>
      <c r="AS394" s="324"/>
    </row>
    <row r="395" customFormat="false" ht="12.75" hidden="false" customHeight="false" outlineLevel="0" collapsed="false">
      <c r="G395" s="324"/>
      <c r="H395" s="324"/>
      <c r="I395" s="324"/>
      <c r="J395" s="324"/>
      <c r="K395" s="324"/>
      <c r="L395" s="324"/>
      <c r="M395" s="451"/>
      <c r="N395" s="451"/>
      <c r="O395" s="451"/>
      <c r="P395" s="324"/>
      <c r="Q395" s="324"/>
      <c r="R395" s="324"/>
      <c r="S395" s="324"/>
      <c r="T395" s="324"/>
      <c r="U395" s="324"/>
      <c r="V395" s="324"/>
      <c r="W395" s="324"/>
      <c r="X395" s="451"/>
      <c r="Y395" s="451"/>
      <c r="Z395" s="451"/>
      <c r="AA395" s="451"/>
      <c r="AB395" s="324"/>
      <c r="AP395" s="324"/>
      <c r="AQ395" s="324"/>
      <c r="AR395" s="451"/>
      <c r="AS395" s="324"/>
    </row>
    <row r="396" customFormat="false" ht="12.75" hidden="false" customHeight="false" outlineLevel="0" collapsed="false">
      <c r="G396" s="324"/>
      <c r="H396" s="324"/>
      <c r="I396" s="324"/>
      <c r="J396" s="324"/>
      <c r="K396" s="324"/>
      <c r="L396" s="324"/>
      <c r="M396" s="451"/>
      <c r="N396" s="451"/>
      <c r="O396" s="451"/>
      <c r="P396" s="324"/>
      <c r="Q396" s="324"/>
      <c r="R396" s="324"/>
      <c r="S396" s="324"/>
      <c r="T396" s="324"/>
      <c r="U396" s="324"/>
      <c r="V396" s="324"/>
      <c r="W396" s="324"/>
      <c r="X396" s="451"/>
      <c r="Y396" s="451"/>
      <c r="Z396" s="451"/>
      <c r="AA396" s="451"/>
      <c r="AB396" s="324"/>
      <c r="AP396" s="324"/>
      <c r="AQ396" s="324"/>
      <c r="AR396" s="451"/>
      <c r="AS396" s="324"/>
    </row>
    <row r="397" customFormat="false" ht="12.75" hidden="false" customHeight="false" outlineLevel="0" collapsed="false">
      <c r="G397" s="324"/>
      <c r="H397" s="324"/>
      <c r="I397" s="324"/>
      <c r="J397" s="324"/>
      <c r="K397" s="324"/>
      <c r="L397" s="324"/>
      <c r="M397" s="451"/>
      <c r="N397" s="451"/>
      <c r="O397" s="451"/>
      <c r="P397" s="324"/>
      <c r="Q397" s="324"/>
      <c r="R397" s="324"/>
      <c r="S397" s="324"/>
      <c r="T397" s="324"/>
      <c r="U397" s="324"/>
      <c r="V397" s="324"/>
      <c r="W397" s="324"/>
      <c r="X397" s="451"/>
      <c r="Y397" s="451"/>
      <c r="Z397" s="451"/>
      <c r="AA397" s="451"/>
      <c r="AB397" s="324"/>
      <c r="AP397" s="324"/>
      <c r="AQ397" s="324"/>
      <c r="AR397" s="451"/>
      <c r="AS397" s="324"/>
    </row>
    <row r="398" customFormat="false" ht="12.75" hidden="false" customHeight="false" outlineLevel="0" collapsed="false">
      <c r="G398" s="324"/>
      <c r="H398" s="324"/>
      <c r="I398" s="324"/>
      <c r="J398" s="324"/>
      <c r="K398" s="324"/>
      <c r="L398" s="324"/>
      <c r="M398" s="451"/>
      <c r="N398" s="451"/>
      <c r="O398" s="451"/>
      <c r="P398" s="324"/>
      <c r="Q398" s="324"/>
      <c r="R398" s="324"/>
      <c r="S398" s="324"/>
      <c r="T398" s="324"/>
      <c r="U398" s="324"/>
      <c r="V398" s="324"/>
      <c r="W398" s="324"/>
      <c r="X398" s="451"/>
      <c r="Y398" s="451"/>
      <c r="Z398" s="451"/>
      <c r="AA398" s="451"/>
      <c r="AB398" s="324"/>
      <c r="AP398" s="324"/>
      <c r="AQ398" s="324"/>
      <c r="AR398" s="451"/>
      <c r="AS398" s="324"/>
    </row>
    <row r="399" customFormat="false" ht="12.75" hidden="false" customHeight="false" outlineLevel="0" collapsed="false">
      <c r="G399" s="324"/>
      <c r="H399" s="324"/>
      <c r="I399" s="324"/>
      <c r="J399" s="324"/>
      <c r="K399" s="324"/>
      <c r="L399" s="324"/>
      <c r="M399" s="451"/>
      <c r="N399" s="451"/>
      <c r="O399" s="451"/>
      <c r="P399" s="324"/>
      <c r="Q399" s="324"/>
      <c r="R399" s="324"/>
      <c r="S399" s="324"/>
      <c r="T399" s="324"/>
      <c r="U399" s="324"/>
      <c r="V399" s="324"/>
      <c r="W399" s="324"/>
      <c r="X399" s="451"/>
      <c r="Y399" s="451"/>
      <c r="Z399" s="451"/>
      <c r="AA399" s="451"/>
      <c r="AB399" s="324"/>
      <c r="AP399" s="324"/>
      <c r="AQ399" s="324"/>
      <c r="AR399" s="451"/>
      <c r="AS399" s="324"/>
    </row>
    <row r="400" customFormat="false" ht="12.75" hidden="false" customHeight="false" outlineLevel="0" collapsed="false">
      <c r="G400" s="324"/>
      <c r="H400" s="324"/>
      <c r="I400" s="324"/>
      <c r="J400" s="324"/>
      <c r="K400" s="324"/>
      <c r="L400" s="324"/>
      <c r="M400" s="451"/>
      <c r="N400" s="451"/>
      <c r="O400" s="451"/>
      <c r="P400" s="324"/>
      <c r="Q400" s="324"/>
      <c r="R400" s="324"/>
      <c r="S400" s="324"/>
      <c r="T400" s="324"/>
      <c r="U400" s="324"/>
      <c r="V400" s="324"/>
      <c r="W400" s="324"/>
      <c r="X400" s="451"/>
      <c r="Y400" s="451"/>
      <c r="Z400" s="451"/>
      <c r="AA400" s="451"/>
      <c r="AB400" s="324"/>
      <c r="AP400" s="324"/>
      <c r="AQ400" s="324"/>
      <c r="AR400" s="451"/>
      <c r="AS400" s="324"/>
    </row>
    <row r="401" customFormat="false" ht="12.75" hidden="false" customHeight="false" outlineLevel="0" collapsed="false">
      <c r="G401" s="324"/>
      <c r="H401" s="324"/>
      <c r="I401" s="324"/>
      <c r="J401" s="324"/>
      <c r="K401" s="324"/>
      <c r="L401" s="324"/>
      <c r="M401" s="451"/>
      <c r="N401" s="451"/>
      <c r="O401" s="451"/>
      <c r="P401" s="324"/>
      <c r="Q401" s="324"/>
      <c r="R401" s="324"/>
      <c r="S401" s="324"/>
      <c r="T401" s="324"/>
      <c r="U401" s="324"/>
      <c r="V401" s="324"/>
      <c r="W401" s="324"/>
      <c r="X401" s="451"/>
      <c r="Y401" s="451"/>
      <c r="Z401" s="451"/>
      <c r="AA401" s="451"/>
      <c r="AB401" s="324"/>
      <c r="AP401" s="324"/>
      <c r="AQ401" s="324"/>
      <c r="AR401" s="451"/>
      <c r="AS401" s="324"/>
    </row>
    <row r="402" customFormat="false" ht="12.75" hidden="false" customHeight="false" outlineLevel="0" collapsed="false">
      <c r="G402" s="324"/>
      <c r="H402" s="324"/>
      <c r="I402" s="324"/>
      <c r="J402" s="324"/>
      <c r="K402" s="324"/>
      <c r="L402" s="324"/>
      <c r="M402" s="451"/>
      <c r="N402" s="451"/>
      <c r="O402" s="451"/>
      <c r="P402" s="324"/>
      <c r="Q402" s="324"/>
      <c r="R402" s="324"/>
      <c r="S402" s="324"/>
      <c r="T402" s="324"/>
      <c r="U402" s="324"/>
      <c r="V402" s="324"/>
      <c r="W402" s="324"/>
      <c r="X402" s="451"/>
      <c r="Y402" s="451"/>
      <c r="Z402" s="451"/>
      <c r="AA402" s="451"/>
      <c r="AB402" s="324"/>
      <c r="AP402" s="324"/>
      <c r="AQ402" s="324"/>
      <c r="AR402" s="451"/>
      <c r="AS402" s="324"/>
    </row>
    <row r="403" customFormat="false" ht="12.75" hidden="false" customHeight="false" outlineLevel="0" collapsed="false">
      <c r="G403" s="324"/>
      <c r="H403" s="324"/>
      <c r="I403" s="324"/>
      <c r="J403" s="324"/>
      <c r="K403" s="324"/>
      <c r="L403" s="324"/>
      <c r="M403" s="451"/>
      <c r="N403" s="451"/>
      <c r="O403" s="451"/>
      <c r="P403" s="324"/>
      <c r="Q403" s="324"/>
      <c r="R403" s="324"/>
      <c r="S403" s="324"/>
      <c r="T403" s="324"/>
      <c r="U403" s="324"/>
      <c r="V403" s="324"/>
      <c r="W403" s="324"/>
      <c r="X403" s="451"/>
      <c r="Y403" s="451"/>
      <c r="Z403" s="451"/>
      <c r="AA403" s="451"/>
      <c r="AB403" s="324"/>
      <c r="AP403" s="324"/>
      <c r="AQ403" s="324"/>
      <c r="AR403" s="451"/>
      <c r="AS403" s="324"/>
    </row>
    <row r="404" customFormat="false" ht="12.75" hidden="false" customHeight="false" outlineLevel="0" collapsed="false">
      <c r="G404" s="324"/>
      <c r="H404" s="324"/>
      <c r="I404" s="324"/>
      <c r="J404" s="324"/>
      <c r="K404" s="324"/>
      <c r="L404" s="324"/>
      <c r="M404" s="451"/>
      <c r="N404" s="451"/>
      <c r="O404" s="451"/>
      <c r="P404" s="324"/>
      <c r="Q404" s="324"/>
      <c r="R404" s="324"/>
      <c r="S404" s="324"/>
      <c r="T404" s="324"/>
      <c r="U404" s="324"/>
      <c r="V404" s="324"/>
      <c r="W404" s="324"/>
      <c r="X404" s="451"/>
      <c r="Y404" s="451"/>
      <c r="Z404" s="451"/>
      <c r="AA404" s="451"/>
      <c r="AB404" s="324"/>
      <c r="AP404" s="324"/>
      <c r="AQ404" s="324"/>
      <c r="AR404" s="451"/>
      <c r="AS404" s="324"/>
    </row>
    <row r="405" customFormat="false" ht="12.75" hidden="false" customHeight="false" outlineLevel="0" collapsed="false">
      <c r="G405" s="324"/>
      <c r="H405" s="324"/>
      <c r="I405" s="324"/>
      <c r="J405" s="324"/>
      <c r="K405" s="324"/>
      <c r="L405" s="324"/>
      <c r="M405" s="451"/>
      <c r="N405" s="451"/>
      <c r="O405" s="451"/>
      <c r="P405" s="324"/>
      <c r="Q405" s="324"/>
      <c r="R405" s="324"/>
      <c r="S405" s="324"/>
      <c r="T405" s="324"/>
      <c r="U405" s="324"/>
      <c r="V405" s="324"/>
      <c r="W405" s="324"/>
      <c r="X405" s="451"/>
      <c r="Y405" s="451"/>
      <c r="Z405" s="451"/>
      <c r="AA405" s="451"/>
      <c r="AB405" s="324"/>
      <c r="AP405" s="324"/>
      <c r="AQ405" s="324"/>
      <c r="AR405" s="451"/>
      <c r="AS405" s="324"/>
    </row>
    <row r="406" customFormat="false" ht="12.75" hidden="false" customHeight="false" outlineLevel="0" collapsed="false">
      <c r="G406" s="324"/>
      <c r="H406" s="324"/>
      <c r="I406" s="324"/>
      <c r="J406" s="324"/>
      <c r="K406" s="324"/>
      <c r="L406" s="324"/>
      <c r="M406" s="451"/>
      <c r="N406" s="451"/>
      <c r="O406" s="451"/>
      <c r="P406" s="324"/>
      <c r="Q406" s="324"/>
      <c r="R406" s="324"/>
      <c r="S406" s="324"/>
      <c r="T406" s="324"/>
      <c r="U406" s="324"/>
      <c r="V406" s="324"/>
      <c r="W406" s="324"/>
      <c r="X406" s="451"/>
      <c r="Y406" s="451"/>
      <c r="Z406" s="451"/>
      <c r="AA406" s="451"/>
      <c r="AB406" s="324"/>
      <c r="AP406" s="324"/>
      <c r="AQ406" s="324"/>
      <c r="AR406" s="451"/>
      <c r="AS406" s="324"/>
    </row>
    <row r="407" customFormat="false" ht="12.75" hidden="false" customHeight="false" outlineLevel="0" collapsed="false">
      <c r="G407" s="324"/>
      <c r="H407" s="324"/>
      <c r="I407" s="324"/>
      <c r="J407" s="324"/>
      <c r="K407" s="324"/>
      <c r="L407" s="324"/>
      <c r="M407" s="451"/>
      <c r="N407" s="451"/>
      <c r="O407" s="451"/>
      <c r="P407" s="324"/>
      <c r="Q407" s="324"/>
      <c r="R407" s="324"/>
      <c r="S407" s="324"/>
      <c r="T407" s="324"/>
      <c r="U407" s="324"/>
      <c r="V407" s="324"/>
      <c r="W407" s="324"/>
      <c r="X407" s="451"/>
      <c r="Y407" s="451"/>
      <c r="Z407" s="451"/>
      <c r="AA407" s="451"/>
      <c r="AB407" s="324"/>
      <c r="AP407" s="324"/>
      <c r="AQ407" s="324"/>
      <c r="AR407" s="451"/>
      <c r="AS407" s="324"/>
    </row>
    <row r="408" customFormat="false" ht="12.75" hidden="false" customHeight="false" outlineLevel="0" collapsed="false">
      <c r="G408" s="324"/>
      <c r="H408" s="324"/>
      <c r="I408" s="324"/>
      <c r="J408" s="324"/>
      <c r="K408" s="324"/>
      <c r="L408" s="324"/>
      <c r="M408" s="451"/>
      <c r="N408" s="451"/>
      <c r="O408" s="451"/>
      <c r="P408" s="324"/>
      <c r="Q408" s="324"/>
      <c r="R408" s="324"/>
      <c r="S408" s="324"/>
      <c r="T408" s="324"/>
      <c r="U408" s="324"/>
      <c r="V408" s="324"/>
      <c r="W408" s="324"/>
      <c r="X408" s="451"/>
      <c r="Y408" s="451"/>
      <c r="Z408" s="451"/>
      <c r="AA408" s="451"/>
      <c r="AB408" s="324"/>
      <c r="AP408" s="324"/>
      <c r="AQ408" s="324"/>
      <c r="AR408" s="451"/>
      <c r="AS408" s="324"/>
    </row>
    <row r="409" customFormat="false" ht="12.75" hidden="false" customHeight="false" outlineLevel="0" collapsed="false">
      <c r="G409" s="324"/>
      <c r="H409" s="324"/>
      <c r="I409" s="324"/>
      <c r="J409" s="324"/>
      <c r="K409" s="324"/>
      <c r="L409" s="324"/>
      <c r="M409" s="451"/>
      <c r="N409" s="451"/>
      <c r="O409" s="451"/>
      <c r="P409" s="324"/>
      <c r="Q409" s="324"/>
      <c r="R409" s="324"/>
      <c r="S409" s="324"/>
      <c r="T409" s="324"/>
      <c r="U409" s="324"/>
      <c r="V409" s="324"/>
      <c r="W409" s="324"/>
      <c r="X409" s="451"/>
      <c r="Y409" s="451"/>
      <c r="Z409" s="451"/>
      <c r="AA409" s="451"/>
      <c r="AB409" s="324"/>
      <c r="AP409" s="324"/>
      <c r="AQ409" s="324"/>
      <c r="AR409" s="451"/>
      <c r="AS409" s="324"/>
    </row>
    <row r="410" customFormat="false" ht="12.75" hidden="false" customHeight="false" outlineLevel="0" collapsed="false">
      <c r="G410" s="324"/>
      <c r="H410" s="324"/>
      <c r="I410" s="324"/>
      <c r="J410" s="324"/>
      <c r="K410" s="324"/>
      <c r="L410" s="324"/>
      <c r="M410" s="451"/>
      <c r="N410" s="451"/>
      <c r="O410" s="451"/>
      <c r="P410" s="324"/>
      <c r="Q410" s="324"/>
      <c r="R410" s="324"/>
      <c r="S410" s="324"/>
      <c r="T410" s="324"/>
      <c r="U410" s="324"/>
      <c r="V410" s="324"/>
      <c r="W410" s="324"/>
      <c r="X410" s="451"/>
      <c r="Y410" s="451"/>
      <c r="Z410" s="451"/>
      <c r="AA410" s="451"/>
      <c r="AB410" s="324"/>
      <c r="AP410" s="324"/>
      <c r="AQ410" s="324"/>
      <c r="AR410" s="451"/>
      <c r="AS410" s="324"/>
    </row>
    <row r="411" customFormat="false" ht="12.75" hidden="false" customHeight="false" outlineLevel="0" collapsed="false">
      <c r="G411" s="324"/>
      <c r="H411" s="324"/>
      <c r="I411" s="324"/>
      <c r="J411" s="324"/>
      <c r="K411" s="324"/>
      <c r="L411" s="324"/>
      <c r="M411" s="451"/>
      <c r="N411" s="451"/>
      <c r="O411" s="451"/>
      <c r="P411" s="324"/>
      <c r="Q411" s="324"/>
      <c r="R411" s="324"/>
      <c r="S411" s="324"/>
      <c r="T411" s="324"/>
      <c r="U411" s="324"/>
      <c r="V411" s="324"/>
      <c r="W411" s="324"/>
      <c r="X411" s="451"/>
      <c r="Y411" s="451"/>
      <c r="Z411" s="451"/>
      <c r="AA411" s="451"/>
      <c r="AB411" s="324"/>
      <c r="AP411" s="324"/>
      <c r="AQ411" s="324"/>
      <c r="AR411" s="451"/>
      <c r="AS411" s="324"/>
    </row>
    <row r="412" customFormat="false" ht="12.75" hidden="false" customHeight="false" outlineLevel="0" collapsed="false">
      <c r="G412" s="324"/>
      <c r="H412" s="324"/>
      <c r="I412" s="324"/>
      <c r="J412" s="324"/>
      <c r="K412" s="324"/>
      <c r="L412" s="324"/>
      <c r="M412" s="451"/>
      <c r="N412" s="451"/>
      <c r="O412" s="451"/>
      <c r="P412" s="324"/>
      <c r="Q412" s="324"/>
      <c r="R412" s="324"/>
      <c r="S412" s="324"/>
      <c r="T412" s="324"/>
      <c r="U412" s="324"/>
      <c r="V412" s="324"/>
      <c r="W412" s="324"/>
      <c r="X412" s="451"/>
      <c r="Y412" s="451"/>
      <c r="Z412" s="451"/>
      <c r="AA412" s="451"/>
      <c r="AB412" s="324"/>
      <c r="AP412" s="324"/>
      <c r="AQ412" s="324"/>
      <c r="AR412" s="451"/>
      <c r="AS412" s="324"/>
    </row>
    <row r="413" customFormat="false" ht="12.75" hidden="false" customHeight="false" outlineLevel="0" collapsed="false">
      <c r="G413" s="324"/>
      <c r="H413" s="324"/>
      <c r="I413" s="324"/>
      <c r="J413" s="324"/>
      <c r="K413" s="324"/>
      <c r="L413" s="324"/>
      <c r="M413" s="451"/>
      <c r="N413" s="451"/>
      <c r="O413" s="451"/>
      <c r="P413" s="324"/>
      <c r="Q413" s="324"/>
      <c r="R413" s="324"/>
      <c r="S413" s="324"/>
      <c r="T413" s="324"/>
      <c r="U413" s="324"/>
      <c r="V413" s="324"/>
      <c r="W413" s="324"/>
      <c r="X413" s="451"/>
      <c r="Y413" s="451"/>
      <c r="Z413" s="451"/>
      <c r="AA413" s="451"/>
      <c r="AB413" s="324"/>
      <c r="AP413" s="324"/>
      <c r="AQ413" s="324"/>
      <c r="AR413" s="451"/>
      <c r="AS413" s="324"/>
    </row>
    <row r="414" customFormat="false" ht="12.75" hidden="false" customHeight="false" outlineLevel="0" collapsed="false">
      <c r="G414" s="324"/>
      <c r="H414" s="324"/>
      <c r="I414" s="324"/>
      <c r="J414" s="324"/>
      <c r="K414" s="324"/>
      <c r="L414" s="324"/>
      <c r="M414" s="451"/>
      <c r="N414" s="451"/>
      <c r="O414" s="451"/>
      <c r="P414" s="324"/>
      <c r="Q414" s="324"/>
      <c r="R414" s="324"/>
      <c r="S414" s="324"/>
      <c r="T414" s="324"/>
      <c r="U414" s="324"/>
      <c r="V414" s="324"/>
      <c r="W414" s="324"/>
      <c r="X414" s="451"/>
      <c r="Y414" s="451"/>
      <c r="Z414" s="451"/>
      <c r="AA414" s="451"/>
      <c r="AB414" s="324"/>
      <c r="AP414" s="324"/>
      <c r="AQ414" s="324"/>
      <c r="AR414" s="451"/>
      <c r="AS414" s="324"/>
    </row>
    <row r="415" customFormat="false" ht="12.75" hidden="false" customHeight="false" outlineLevel="0" collapsed="false">
      <c r="G415" s="324"/>
      <c r="H415" s="324"/>
      <c r="I415" s="324"/>
      <c r="J415" s="324"/>
      <c r="K415" s="324"/>
      <c r="L415" s="324"/>
      <c r="M415" s="451"/>
      <c r="N415" s="451"/>
      <c r="O415" s="451"/>
      <c r="P415" s="324"/>
      <c r="Q415" s="324"/>
      <c r="R415" s="324"/>
      <c r="S415" s="324"/>
      <c r="T415" s="324"/>
      <c r="U415" s="324"/>
      <c r="V415" s="324"/>
      <c r="W415" s="324"/>
      <c r="X415" s="451"/>
      <c r="Y415" s="451"/>
      <c r="Z415" s="451"/>
      <c r="AA415" s="451"/>
      <c r="AB415" s="324"/>
      <c r="AP415" s="324"/>
      <c r="AQ415" s="324"/>
      <c r="AR415" s="451"/>
      <c r="AS415" s="324"/>
    </row>
    <row r="416" customFormat="false" ht="12.75" hidden="false" customHeight="false" outlineLevel="0" collapsed="false">
      <c r="G416" s="324"/>
      <c r="H416" s="324"/>
      <c r="I416" s="324"/>
      <c r="J416" s="324"/>
      <c r="K416" s="324"/>
      <c r="L416" s="324"/>
      <c r="M416" s="451"/>
      <c r="N416" s="451"/>
      <c r="O416" s="451"/>
      <c r="P416" s="324"/>
      <c r="Q416" s="324"/>
      <c r="R416" s="324"/>
      <c r="S416" s="324"/>
      <c r="T416" s="324"/>
      <c r="U416" s="324"/>
      <c r="V416" s="324"/>
      <c r="W416" s="324"/>
      <c r="X416" s="451"/>
      <c r="Y416" s="451"/>
      <c r="Z416" s="451"/>
      <c r="AA416" s="451"/>
      <c r="AB416" s="324"/>
      <c r="AP416" s="324"/>
      <c r="AQ416" s="324"/>
      <c r="AR416" s="451"/>
      <c r="AS416" s="324"/>
    </row>
    <row r="417" customFormat="false" ht="12.75" hidden="false" customHeight="false" outlineLevel="0" collapsed="false">
      <c r="G417" s="324"/>
      <c r="H417" s="324"/>
      <c r="I417" s="324"/>
      <c r="J417" s="324"/>
      <c r="K417" s="324"/>
      <c r="L417" s="324"/>
      <c r="M417" s="451"/>
      <c r="N417" s="451"/>
      <c r="O417" s="451"/>
      <c r="P417" s="324"/>
      <c r="Q417" s="324"/>
      <c r="R417" s="324"/>
      <c r="S417" s="324"/>
      <c r="T417" s="324"/>
      <c r="U417" s="324"/>
      <c r="V417" s="324"/>
      <c r="W417" s="324"/>
      <c r="X417" s="451"/>
      <c r="Y417" s="451"/>
      <c r="Z417" s="451"/>
      <c r="AA417" s="451"/>
      <c r="AB417" s="324"/>
      <c r="AP417" s="324"/>
      <c r="AQ417" s="324"/>
      <c r="AR417" s="451"/>
      <c r="AS417" s="324"/>
    </row>
    <row r="418" customFormat="false" ht="12.75" hidden="false" customHeight="false" outlineLevel="0" collapsed="false">
      <c r="G418" s="324"/>
      <c r="H418" s="324"/>
      <c r="I418" s="324"/>
      <c r="J418" s="324"/>
      <c r="K418" s="324"/>
      <c r="L418" s="324"/>
      <c r="M418" s="451"/>
      <c r="N418" s="451"/>
      <c r="O418" s="451"/>
      <c r="P418" s="324"/>
      <c r="Q418" s="324"/>
      <c r="R418" s="324"/>
      <c r="S418" s="324"/>
      <c r="T418" s="324"/>
      <c r="U418" s="324"/>
      <c r="V418" s="324"/>
      <c r="W418" s="324"/>
      <c r="X418" s="451"/>
      <c r="Y418" s="451"/>
      <c r="Z418" s="451"/>
      <c r="AA418" s="451"/>
      <c r="AB418" s="324"/>
      <c r="AP418" s="324"/>
      <c r="AQ418" s="324"/>
      <c r="AR418" s="451"/>
      <c r="AS418" s="324"/>
    </row>
    <row r="419" customFormat="false" ht="12.75" hidden="false" customHeight="false" outlineLevel="0" collapsed="false">
      <c r="G419" s="324"/>
      <c r="H419" s="324"/>
      <c r="I419" s="324"/>
      <c r="J419" s="324"/>
      <c r="K419" s="324"/>
      <c r="L419" s="324"/>
      <c r="M419" s="451"/>
      <c r="N419" s="451"/>
      <c r="O419" s="451"/>
      <c r="P419" s="324"/>
      <c r="Q419" s="324"/>
      <c r="R419" s="324"/>
      <c r="S419" s="324"/>
      <c r="T419" s="324"/>
      <c r="U419" s="324"/>
      <c r="V419" s="324"/>
      <c r="W419" s="324"/>
      <c r="X419" s="451"/>
      <c r="Y419" s="451"/>
      <c r="Z419" s="451"/>
      <c r="AA419" s="451"/>
      <c r="AB419" s="324"/>
      <c r="AP419" s="324"/>
      <c r="AQ419" s="324"/>
      <c r="AR419" s="451"/>
      <c r="AS419" s="324"/>
    </row>
    <row r="420" customFormat="false" ht="12.75" hidden="false" customHeight="false" outlineLevel="0" collapsed="false">
      <c r="G420" s="324"/>
      <c r="H420" s="324"/>
      <c r="I420" s="324"/>
      <c r="J420" s="324"/>
      <c r="K420" s="324"/>
      <c r="L420" s="324"/>
      <c r="M420" s="451"/>
      <c r="N420" s="451"/>
      <c r="O420" s="451"/>
      <c r="P420" s="324"/>
      <c r="Q420" s="324"/>
      <c r="R420" s="324"/>
      <c r="S420" s="324"/>
      <c r="T420" s="324"/>
      <c r="U420" s="324"/>
      <c r="V420" s="324"/>
      <c r="W420" s="324"/>
      <c r="X420" s="451"/>
      <c r="Y420" s="451"/>
      <c r="Z420" s="451"/>
      <c r="AA420" s="451"/>
      <c r="AB420" s="324"/>
      <c r="AP420" s="324"/>
      <c r="AQ420" s="324"/>
      <c r="AR420" s="451"/>
      <c r="AS420" s="324"/>
    </row>
    <row r="421" customFormat="false" ht="12.75" hidden="false" customHeight="false" outlineLevel="0" collapsed="false">
      <c r="G421" s="324"/>
      <c r="H421" s="324"/>
      <c r="I421" s="324"/>
      <c r="J421" s="324"/>
      <c r="K421" s="324"/>
      <c r="L421" s="324"/>
      <c r="M421" s="451"/>
      <c r="N421" s="451"/>
      <c r="O421" s="451"/>
      <c r="P421" s="324"/>
      <c r="Q421" s="324"/>
      <c r="R421" s="324"/>
      <c r="S421" s="324"/>
      <c r="T421" s="324"/>
      <c r="U421" s="324"/>
      <c r="V421" s="324"/>
      <c r="W421" s="324"/>
      <c r="X421" s="451"/>
      <c r="Y421" s="451"/>
      <c r="Z421" s="451"/>
      <c r="AA421" s="451"/>
      <c r="AB421" s="324"/>
      <c r="AP421" s="324"/>
      <c r="AQ421" s="324"/>
      <c r="AR421" s="451"/>
      <c r="AS421" s="324"/>
    </row>
    <row r="422" customFormat="false" ht="12.75" hidden="false" customHeight="false" outlineLevel="0" collapsed="false">
      <c r="G422" s="324"/>
      <c r="H422" s="324"/>
      <c r="I422" s="324"/>
      <c r="J422" s="324"/>
      <c r="K422" s="324"/>
      <c r="L422" s="324"/>
      <c r="M422" s="451"/>
      <c r="N422" s="451"/>
      <c r="O422" s="451"/>
      <c r="P422" s="324"/>
      <c r="Q422" s="324"/>
      <c r="R422" s="324"/>
      <c r="S422" s="324"/>
      <c r="T422" s="324"/>
      <c r="U422" s="324"/>
      <c r="V422" s="324"/>
      <c r="W422" s="324"/>
      <c r="X422" s="451"/>
      <c r="Y422" s="451"/>
      <c r="Z422" s="451"/>
      <c r="AA422" s="451"/>
      <c r="AB422" s="324"/>
      <c r="AP422" s="324"/>
      <c r="AQ422" s="324"/>
      <c r="AR422" s="451"/>
      <c r="AS422" s="324"/>
    </row>
    <row r="423" customFormat="false" ht="12.75" hidden="false" customHeight="false" outlineLevel="0" collapsed="false">
      <c r="G423" s="324"/>
      <c r="H423" s="324"/>
      <c r="I423" s="324"/>
      <c r="J423" s="324"/>
      <c r="K423" s="324"/>
      <c r="L423" s="324"/>
      <c r="M423" s="451"/>
      <c r="N423" s="451"/>
      <c r="O423" s="451"/>
      <c r="P423" s="324"/>
      <c r="Q423" s="324"/>
      <c r="R423" s="324"/>
      <c r="S423" s="324"/>
      <c r="T423" s="324"/>
      <c r="U423" s="324"/>
      <c r="V423" s="324"/>
      <c r="W423" s="324"/>
      <c r="X423" s="451"/>
      <c r="Y423" s="451"/>
      <c r="Z423" s="451"/>
      <c r="AA423" s="451"/>
      <c r="AB423" s="324"/>
      <c r="AP423" s="324"/>
      <c r="AQ423" s="324"/>
      <c r="AR423" s="451"/>
      <c r="AS423" s="324"/>
    </row>
    <row r="424" customFormat="false" ht="12.75" hidden="false" customHeight="false" outlineLevel="0" collapsed="false">
      <c r="G424" s="324"/>
      <c r="H424" s="324"/>
      <c r="I424" s="324"/>
      <c r="J424" s="324"/>
      <c r="K424" s="324"/>
      <c r="L424" s="324"/>
      <c r="M424" s="451"/>
      <c r="N424" s="451"/>
      <c r="O424" s="451"/>
      <c r="P424" s="324"/>
      <c r="Q424" s="324"/>
      <c r="R424" s="324"/>
      <c r="S424" s="324"/>
      <c r="T424" s="324"/>
      <c r="U424" s="324"/>
      <c r="V424" s="324"/>
      <c r="W424" s="324"/>
      <c r="X424" s="451"/>
      <c r="Y424" s="451"/>
      <c r="Z424" s="451"/>
      <c r="AA424" s="451"/>
      <c r="AB424" s="324"/>
      <c r="AP424" s="324"/>
      <c r="AQ424" s="324"/>
      <c r="AR424" s="451"/>
      <c r="AS424" s="324"/>
    </row>
    <row r="425" customFormat="false" ht="12.75" hidden="false" customHeight="false" outlineLevel="0" collapsed="false">
      <c r="G425" s="324"/>
      <c r="H425" s="324"/>
      <c r="I425" s="324"/>
      <c r="J425" s="324"/>
      <c r="K425" s="324"/>
      <c r="L425" s="324"/>
      <c r="M425" s="451"/>
      <c r="N425" s="451"/>
      <c r="O425" s="451"/>
      <c r="P425" s="324"/>
      <c r="Q425" s="324"/>
      <c r="R425" s="324"/>
      <c r="S425" s="324"/>
      <c r="T425" s="324"/>
      <c r="U425" s="324"/>
      <c r="V425" s="324"/>
      <c r="W425" s="324"/>
      <c r="X425" s="451"/>
      <c r="Y425" s="451"/>
      <c r="Z425" s="451"/>
      <c r="AA425" s="451"/>
      <c r="AB425" s="324"/>
      <c r="AP425" s="324"/>
      <c r="AQ425" s="324"/>
      <c r="AR425" s="451"/>
      <c r="AS425" s="324"/>
    </row>
    <row r="426" customFormat="false" ht="12.75" hidden="false" customHeight="false" outlineLevel="0" collapsed="false">
      <c r="G426" s="324"/>
      <c r="H426" s="324"/>
      <c r="I426" s="324"/>
      <c r="J426" s="324"/>
      <c r="K426" s="324"/>
      <c r="L426" s="324"/>
      <c r="M426" s="451"/>
      <c r="N426" s="451"/>
      <c r="O426" s="451"/>
      <c r="P426" s="324"/>
      <c r="Q426" s="324"/>
      <c r="R426" s="324"/>
      <c r="S426" s="324"/>
      <c r="T426" s="324"/>
      <c r="U426" s="324"/>
      <c r="V426" s="324"/>
      <c r="W426" s="324"/>
      <c r="X426" s="451"/>
      <c r="Y426" s="451"/>
      <c r="Z426" s="451"/>
      <c r="AA426" s="451"/>
      <c r="AB426" s="324"/>
      <c r="AP426" s="324"/>
      <c r="AQ426" s="324"/>
      <c r="AR426" s="451"/>
      <c r="AS426" s="324"/>
    </row>
    <row r="427" customFormat="false" ht="12.75" hidden="false" customHeight="false" outlineLevel="0" collapsed="false">
      <c r="G427" s="324"/>
      <c r="H427" s="324"/>
      <c r="I427" s="324"/>
      <c r="J427" s="324"/>
      <c r="K427" s="324"/>
      <c r="L427" s="324"/>
      <c r="M427" s="451"/>
      <c r="N427" s="451"/>
      <c r="O427" s="451"/>
      <c r="P427" s="324"/>
      <c r="Q427" s="324"/>
      <c r="R427" s="324"/>
      <c r="S427" s="324"/>
      <c r="T427" s="324"/>
      <c r="U427" s="324"/>
      <c r="V427" s="324"/>
      <c r="W427" s="324"/>
      <c r="X427" s="451"/>
      <c r="Y427" s="451"/>
      <c r="Z427" s="451"/>
      <c r="AA427" s="451"/>
      <c r="AB427" s="324"/>
      <c r="AP427" s="324"/>
      <c r="AQ427" s="324"/>
      <c r="AR427" s="451"/>
      <c r="AS427" s="324"/>
    </row>
    <row r="428" customFormat="false" ht="12.75" hidden="false" customHeight="false" outlineLevel="0" collapsed="false">
      <c r="G428" s="324"/>
      <c r="H428" s="324"/>
      <c r="I428" s="324"/>
      <c r="J428" s="324"/>
      <c r="K428" s="324"/>
      <c r="L428" s="324"/>
      <c r="M428" s="451"/>
      <c r="N428" s="451"/>
      <c r="O428" s="451"/>
      <c r="P428" s="324"/>
      <c r="Q428" s="324"/>
      <c r="R428" s="324"/>
      <c r="S428" s="324"/>
      <c r="T428" s="324"/>
      <c r="U428" s="324"/>
      <c r="V428" s="324"/>
      <c r="W428" s="324"/>
      <c r="X428" s="451"/>
      <c r="Y428" s="451"/>
      <c r="Z428" s="451"/>
      <c r="AA428" s="451"/>
      <c r="AB428" s="324"/>
      <c r="AP428" s="324"/>
      <c r="AQ428" s="324"/>
      <c r="AR428" s="451"/>
      <c r="AS428" s="324"/>
    </row>
    <row r="429" customFormat="false" ht="12.75" hidden="false" customHeight="false" outlineLevel="0" collapsed="false">
      <c r="G429" s="324"/>
      <c r="H429" s="324"/>
      <c r="I429" s="324"/>
      <c r="J429" s="324"/>
      <c r="K429" s="324"/>
      <c r="L429" s="324"/>
      <c r="M429" s="451"/>
      <c r="N429" s="451"/>
      <c r="O429" s="451"/>
      <c r="P429" s="324"/>
      <c r="Q429" s="324"/>
      <c r="R429" s="324"/>
      <c r="S429" s="324"/>
      <c r="T429" s="324"/>
      <c r="U429" s="324"/>
      <c r="V429" s="324"/>
      <c r="W429" s="324"/>
      <c r="X429" s="451"/>
      <c r="Y429" s="451"/>
      <c r="Z429" s="451"/>
      <c r="AA429" s="451"/>
      <c r="AB429" s="324"/>
      <c r="AP429" s="324"/>
      <c r="AQ429" s="324"/>
      <c r="AR429" s="451"/>
      <c r="AS429" s="324"/>
    </row>
    <row r="430" customFormat="false" ht="12.75" hidden="false" customHeight="false" outlineLevel="0" collapsed="false">
      <c r="G430" s="324"/>
      <c r="H430" s="324"/>
      <c r="I430" s="324"/>
      <c r="J430" s="324"/>
      <c r="K430" s="324"/>
      <c r="L430" s="324"/>
      <c r="M430" s="451"/>
      <c r="N430" s="451"/>
      <c r="O430" s="451"/>
      <c r="P430" s="324"/>
      <c r="Q430" s="324"/>
      <c r="R430" s="324"/>
      <c r="S430" s="324"/>
      <c r="T430" s="324"/>
      <c r="U430" s="324"/>
      <c r="V430" s="324"/>
      <c r="W430" s="324"/>
      <c r="X430" s="451"/>
      <c r="Y430" s="451"/>
      <c r="Z430" s="451"/>
      <c r="AA430" s="451"/>
      <c r="AB430" s="324"/>
      <c r="AP430" s="324"/>
      <c r="AQ430" s="324"/>
      <c r="AR430" s="451"/>
      <c r="AS430" s="324"/>
    </row>
    <row r="431" customFormat="false" ht="12.75" hidden="false" customHeight="false" outlineLevel="0" collapsed="false">
      <c r="G431" s="324"/>
      <c r="H431" s="324"/>
      <c r="I431" s="324"/>
      <c r="J431" s="324"/>
      <c r="K431" s="324"/>
      <c r="L431" s="324"/>
      <c r="M431" s="451"/>
      <c r="N431" s="451"/>
      <c r="O431" s="451"/>
      <c r="P431" s="324"/>
      <c r="Q431" s="324"/>
      <c r="R431" s="324"/>
      <c r="S431" s="324"/>
      <c r="T431" s="324"/>
      <c r="U431" s="324"/>
      <c r="V431" s="324"/>
      <c r="W431" s="324"/>
      <c r="X431" s="451"/>
      <c r="Y431" s="451"/>
      <c r="Z431" s="451"/>
      <c r="AA431" s="451"/>
      <c r="AB431" s="324"/>
      <c r="AP431" s="324"/>
      <c r="AQ431" s="324"/>
      <c r="AR431" s="451"/>
      <c r="AS431" s="324"/>
    </row>
    <row r="432" customFormat="false" ht="12.75" hidden="false" customHeight="false" outlineLevel="0" collapsed="false">
      <c r="G432" s="324"/>
      <c r="H432" s="324"/>
      <c r="I432" s="324"/>
      <c r="J432" s="324"/>
      <c r="K432" s="324"/>
      <c r="L432" s="324"/>
      <c r="M432" s="451"/>
      <c r="N432" s="451"/>
      <c r="O432" s="451"/>
      <c r="P432" s="324"/>
      <c r="Q432" s="324"/>
      <c r="R432" s="324"/>
      <c r="S432" s="324"/>
      <c r="T432" s="324"/>
      <c r="U432" s="324"/>
      <c r="V432" s="324"/>
      <c r="W432" s="324"/>
      <c r="X432" s="451"/>
      <c r="Y432" s="451"/>
      <c r="Z432" s="451"/>
      <c r="AA432" s="451"/>
      <c r="AB432" s="324"/>
      <c r="AP432" s="324"/>
      <c r="AQ432" s="324"/>
      <c r="AR432" s="451"/>
      <c r="AS432" s="324"/>
    </row>
    <row r="433" customFormat="false" ht="12.75" hidden="false" customHeight="false" outlineLevel="0" collapsed="false">
      <c r="G433" s="324"/>
      <c r="H433" s="324"/>
      <c r="I433" s="324"/>
      <c r="J433" s="324"/>
      <c r="K433" s="324"/>
      <c r="L433" s="324"/>
      <c r="M433" s="451"/>
      <c r="N433" s="451"/>
      <c r="O433" s="451"/>
      <c r="P433" s="324"/>
      <c r="Q433" s="324"/>
      <c r="R433" s="324"/>
      <c r="S433" s="324"/>
      <c r="T433" s="324"/>
      <c r="U433" s="324"/>
      <c r="V433" s="324"/>
      <c r="W433" s="324"/>
      <c r="X433" s="451"/>
      <c r="Y433" s="451"/>
      <c r="Z433" s="451"/>
      <c r="AA433" s="451"/>
      <c r="AB433" s="324"/>
      <c r="AP433" s="324"/>
      <c r="AQ433" s="324"/>
      <c r="AR433" s="451"/>
      <c r="AS433" s="324"/>
    </row>
    <row r="434" customFormat="false" ht="12.75" hidden="false" customHeight="false" outlineLevel="0" collapsed="false">
      <c r="G434" s="324"/>
      <c r="H434" s="324"/>
      <c r="I434" s="324"/>
      <c r="J434" s="324"/>
      <c r="K434" s="324"/>
      <c r="L434" s="324"/>
      <c r="M434" s="451"/>
      <c r="N434" s="451"/>
      <c r="O434" s="451"/>
      <c r="P434" s="324"/>
      <c r="Q434" s="324"/>
      <c r="R434" s="324"/>
      <c r="S434" s="324"/>
      <c r="T434" s="324"/>
      <c r="U434" s="324"/>
      <c r="V434" s="324"/>
      <c r="W434" s="324"/>
      <c r="X434" s="451"/>
      <c r="Y434" s="451"/>
      <c r="Z434" s="451"/>
      <c r="AA434" s="451"/>
      <c r="AB434" s="324"/>
      <c r="AP434" s="324"/>
      <c r="AQ434" s="324"/>
      <c r="AR434" s="451"/>
      <c r="AS434" s="324"/>
    </row>
    <row r="435" customFormat="false" ht="12.75" hidden="false" customHeight="false" outlineLevel="0" collapsed="false">
      <c r="G435" s="324"/>
      <c r="H435" s="324"/>
      <c r="I435" s="324"/>
      <c r="J435" s="324"/>
      <c r="K435" s="324"/>
      <c r="L435" s="324"/>
      <c r="M435" s="451"/>
      <c r="N435" s="451"/>
      <c r="O435" s="451"/>
      <c r="P435" s="324"/>
      <c r="Q435" s="324"/>
      <c r="R435" s="324"/>
      <c r="S435" s="324"/>
      <c r="T435" s="324"/>
      <c r="U435" s="324"/>
      <c r="V435" s="324"/>
      <c r="W435" s="324"/>
      <c r="X435" s="451"/>
      <c r="Y435" s="451"/>
      <c r="Z435" s="451"/>
      <c r="AA435" s="451"/>
      <c r="AB435" s="324"/>
      <c r="AP435" s="324"/>
      <c r="AQ435" s="324"/>
      <c r="AR435" s="451"/>
      <c r="AS435" s="324"/>
    </row>
    <row r="436" customFormat="false" ht="12.75" hidden="false" customHeight="false" outlineLevel="0" collapsed="false">
      <c r="G436" s="324"/>
      <c r="H436" s="324"/>
      <c r="I436" s="324"/>
      <c r="J436" s="324"/>
      <c r="K436" s="324"/>
      <c r="L436" s="324"/>
      <c r="M436" s="451"/>
      <c r="N436" s="451"/>
      <c r="O436" s="451"/>
      <c r="P436" s="324"/>
      <c r="Q436" s="324"/>
      <c r="R436" s="324"/>
      <c r="S436" s="324"/>
      <c r="T436" s="324"/>
      <c r="U436" s="324"/>
      <c r="V436" s="324"/>
      <c r="W436" s="324"/>
      <c r="X436" s="451"/>
      <c r="Y436" s="451"/>
      <c r="Z436" s="451"/>
      <c r="AA436" s="451"/>
      <c r="AB436" s="324"/>
      <c r="AP436" s="324"/>
      <c r="AQ436" s="324"/>
      <c r="AR436" s="451"/>
      <c r="AS436" s="324"/>
    </row>
    <row r="437" customFormat="false" ht="12.75" hidden="false" customHeight="false" outlineLevel="0" collapsed="false">
      <c r="G437" s="324"/>
      <c r="H437" s="324"/>
      <c r="I437" s="324"/>
      <c r="J437" s="324"/>
      <c r="K437" s="324"/>
      <c r="L437" s="324"/>
      <c r="M437" s="451"/>
      <c r="N437" s="451"/>
      <c r="O437" s="451"/>
      <c r="P437" s="324"/>
      <c r="Q437" s="324"/>
      <c r="R437" s="324"/>
      <c r="S437" s="324"/>
      <c r="T437" s="324"/>
      <c r="U437" s="324"/>
      <c r="V437" s="324"/>
      <c r="W437" s="324"/>
      <c r="X437" s="451"/>
      <c r="Y437" s="451"/>
      <c r="Z437" s="451"/>
      <c r="AA437" s="451"/>
      <c r="AB437" s="324"/>
      <c r="AP437" s="324"/>
      <c r="AQ437" s="324"/>
      <c r="AR437" s="451"/>
      <c r="AS437" s="324"/>
    </row>
    <row r="438" customFormat="false" ht="12.75" hidden="false" customHeight="false" outlineLevel="0" collapsed="false">
      <c r="G438" s="324"/>
      <c r="H438" s="324"/>
      <c r="I438" s="324"/>
      <c r="J438" s="324"/>
      <c r="K438" s="324"/>
      <c r="L438" s="324"/>
      <c r="M438" s="451"/>
      <c r="N438" s="451"/>
      <c r="O438" s="451"/>
      <c r="P438" s="324"/>
      <c r="Q438" s="324"/>
      <c r="R438" s="324"/>
      <c r="S438" s="324"/>
      <c r="T438" s="324"/>
      <c r="U438" s="324"/>
      <c r="V438" s="324"/>
      <c r="W438" s="324"/>
      <c r="X438" s="451"/>
      <c r="Y438" s="451"/>
      <c r="Z438" s="451"/>
      <c r="AA438" s="451"/>
      <c r="AB438" s="324"/>
      <c r="AP438" s="324"/>
      <c r="AQ438" s="324"/>
      <c r="AR438" s="451"/>
      <c r="AS438" s="324"/>
    </row>
    <row r="439" customFormat="false" ht="12.75" hidden="false" customHeight="false" outlineLevel="0" collapsed="false">
      <c r="G439" s="324"/>
      <c r="H439" s="324"/>
      <c r="I439" s="324"/>
      <c r="J439" s="324"/>
      <c r="K439" s="324"/>
      <c r="L439" s="324"/>
      <c r="M439" s="451"/>
      <c r="N439" s="451"/>
      <c r="O439" s="451"/>
      <c r="P439" s="324"/>
      <c r="Q439" s="324"/>
      <c r="R439" s="324"/>
      <c r="S439" s="324"/>
      <c r="T439" s="324"/>
      <c r="U439" s="324"/>
      <c r="V439" s="324"/>
      <c r="W439" s="324"/>
      <c r="X439" s="451"/>
      <c r="Y439" s="451"/>
      <c r="Z439" s="451"/>
      <c r="AA439" s="451"/>
      <c r="AB439" s="324"/>
      <c r="AP439" s="324"/>
      <c r="AQ439" s="324"/>
      <c r="AR439" s="451"/>
      <c r="AS439" s="324"/>
    </row>
    <row r="440" customFormat="false" ht="12.75" hidden="false" customHeight="false" outlineLevel="0" collapsed="false">
      <c r="G440" s="324"/>
      <c r="H440" s="324"/>
      <c r="I440" s="324"/>
      <c r="J440" s="324"/>
      <c r="K440" s="324"/>
      <c r="L440" s="324"/>
      <c r="M440" s="451"/>
      <c r="N440" s="451"/>
      <c r="O440" s="451"/>
      <c r="P440" s="324"/>
      <c r="Q440" s="324"/>
      <c r="R440" s="324"/>
      <c r="S440" s="324"/>
      <c r="T440" s="324"/>
      <c r="U440" s="324"/>
      <c r="V440" s="324"/>
      <c r="W440" s="324"/>
      <c r="X440" s="451"/>
      <c r="Y440" s="451"/>
      <c r="Z440" s="451"/>
      <c r="AA440" s="451"/>
      <c r="AB440" s="324"/>
      <c r="AP440" s="324"/>
      <c r="AQ440" s="324"/>
      <c r="AR440" s="451"/>
      <c r="AS440" s="324"/>
    </row>
    <row r="441" customFormat="false" ht="12.75" hidden="false" customHeight="false" outlineLevel="0" collapsed="false">
      <c r="G441" s="324"/>
      <c r="H441" s="324"/>
      <c r="I441" s="324"/>
      <c r="J441" s="324"/>
      <c r="K441" s="324"/>
      <c r="L441" s="324"/>
      <c r="M441" s="451"/>
      <c r="N441" s="451"/>
      <c r="O441" s="451"/>
      <c r="P441" s="324"/>
      <c r="Q441" s="324"/>
      <c r="R441" s="324"/>
      <c r="S441" s="324"/>
      <c r="T441" s="324"/>
      <c r="U441" s="324"/>
      <c r="V441" s="324"/>
      <c r="W441" s="324"/>
      <c r="X441" s="451"/>
      <c r="Y441" s="451"/>
      <c r="Z441" s="451"/>
      <c r="AA441" s="451"/>
      <c r="AB441" s="324"/>
      <c r="AP441" s="324"/>
      <c r="AQ441" s="324"/>
      <c r="AR441" s="451"/>
      <c r="AS441" s="324"/>
    </row>
    <row r="442" customFormat="false" ht="12.75" hidden="false" customHeight="false" outlineLevel="0" collapsed="false">
      <c r="G442" s="324"/>
      <c r="H442" s="324"/>
      <c r="I442" s="324"/>
      <c r="J442" s="324"/>
      <c r="K442" s="324"/>
      <c r="L442" s="324"/>
      <c r="M442" s="451"/>
      <c r="N442" s="451"/>
      <c r="O442" s="451"/>
      <c r="P442" s="324"/>
      <c r="Q442" s="324"/>
      <c r="R442" s="324"/>
      <c r="S442" s="324"/>
      <c r="T442" s="324"/>
      <c r="U442" s="324"/>
      <c r="V442" s="324"/>
      <c r="W442" s="324"/>
      <c r="X442" s="451"/>
      <c r="Y442" s="451"/>
      <c r="Z442" s="451"/>
      <c r="AA442" s="451"/>
      <c r="AB442" s="324"/>
      <c r="AP442" s="324"/>
      <c r="AQ442" s="324"/>
      <c r="AR442" s="451"/>
      <c r="AS442" s="324"/>
    </row>
    <row r="443" customFormat="false" ht="12.75" hidden="false" customHeight="false" outlineLevel="0" collapsed="false">
      <c r="G443" s="324"/>
      <c r="H443" s="324"/>
      <c r="I443" s="324"/>
      <c r="J443" s="324"/>
      <c r="K443" s="324"/>
      <c r="L443" s="324"/>
      <c r="M443" s="451"/>
      <c r="N443" s="451"/>
      <c r="O443" s="451"/>
      <c r="P443" s="324"/>
      <c r="Q443" s="324"/>
      <c r="R443" s="324"/>
      <c r="S443" s="324"/>
      <c r="T443" s="324"/>
      <c r="U443" s="324"/>
      <c r="V443" s="324"/>
      <c r="W443" s="324"/>
      <c r="X443" s="451"/>
      <c r="Y443" s="451"/>
      <c r="Z443" s="451"/>
      <c r="AA443" s="451"/>
      <c r="AB443" s="324"/>
      <c r="AP443" s="324"/>
      <c r="AQ443" s="324"/>
      <c r="AR443" s="451"/>
      <c r="AS443" s="324"/>
    </row>
    <row r="444" customFormat="false" ht="12.75" hidden="false" customHeight="false" outlineLevel="0" collapsed="false">
      <c r="G444" s="324"/>
      <c r="H444" s="324"/>
      <c r="I444" s="324"/>
      <c r="J444" s="324"/>
      <c r="K444" s="324"/>
      <c r="L444" s="324"/>
      <c r="M444" s="451"/>
      <c r="N444" s="451"/>
      <c r="O444" s="451"/>
      <c r="P444" s="324"/>
      <c r="Q444" s="324"/>
      <c r="R444" s="324"/>
      <c r="S444" s="324"/>
      <c r="T444" s="324"/>
      <c r="U444" s="324"/>
      <c r="V444" s="324"/>
      <c r="W444" s="324"/>
      <c r="X444" s="451"/>
      <c r="Y444" s="451"/>
      <c r="Z444" s="451"/>
      <c r="AA444" s="451"/>
      <c r="AB444" s="324"/>
      <c r="AP444" s="324"/>
      <c r="AQ444" s="324"/>
      <c r="AR444" s="451"/>
      <c r="AS444" s="324"/>
    </row>
    <row r="445" customFormat="false" ht="12.75" hidden="false" customHeight="false" outlineLevel="0" collapsed="false">
      <c r="G445" s="324"/>
      <c r="H445" s="324"/>
      <c r="I445" s="324"/>
      <c r="J445" s="324"/>
      <c r="K445" s="324"/>
      <c r="L445" s="324"/>
      <c r="M445" s="451"/>
      <c r="N445" s="451"/>
      <c r="O445" s="451"/>
      <c r="P445" s="324"/>
      <c r="Q445" s="324"/>
      <c r="R445" s="324"/>
      <c r="S445" s="324"/>
      <c r="T445" s="324"/>
      <c r="U445" s="324"/>
      <c r="V445" s="324"/>
      <c r="W445" s="324"/>
      <c r="X445" s="451"/>
      <c r="Y445" s="451"/>
      <c r="Z445" s="451"/>
      <c r="AA445" s="451"/>
      <c r="AB445" s="324"/>
      <c r="AP445" s="324"/>
      <c r="AQ445" s="324"/>
      <c r="AR445" s="451"/>
      <c r="AS445" s="324"/>
    </row>
    <row r="446" customFormat="false" ht="12.75" hidden="false" customHeight="false" outlineLevel="0" collapsed="false">
      <c r="G446" s="324"/>
      <c r="H446" s="324"/>
      <c r="I446" s="324"/>
      <c r="J446" s="324"/>
      <c r="K446" s="324"/>
      <c r="L446" s="324"/>
      <c r="M446" s="451"/>
      <c r="N446" s="451"/>
      <c r="O446" s="451"/>
      <c r="P446" s="324"/>
      <c r="Q446" s="324"/>
      <c r="R446" s="324"/>
      <c r="S446" s="324"/>
      <c r="T446" s="324"/>
      <c r="U446" s="324"/>
      <c r="V446" s="324"/>
      <c r="W446" s="324"/>
      <c r="X446" s="451"/>
      <c r="Y446" s="451"/>
      <c r="Z446" s="451"/>
      <c r="AA446" s="451"/>
      <c r="AB446" s="324"/>
      <c r="AP446" s="324"/>
      <c r="AQ446" s="324"/>
      <c r="AR446" s="451"/>
      <c r="AS446" s="324"/>
    </row>
    <row r="447" customFormat="false" ht="12.75" hidden="false" customHeight="false" outlineLevel="0" collapsed="false">
      <c r="G447" s="324"/>
      <c r="H447" s="324"/>
      <c r="I447" s="324"/>
      <c r="J447" s="324"/>
      <c r="K447" s="324"/>
      <c r="L447" s="324"/>
      <c r="M447" s="451"/>
      <c r="N447" s="451"/>
      <c r="O447" s="451"/>
      <c r="P447" s="324"/>
      <c r="Q447" s="324"/>
      <c r="R447" s="324"/>
      <c r="S447" s="324"/>
      <c r="T447" s="324"/>
      <c r="U447" s="324"/>
      <c r="V447" s="324"/>
      <c r="W447" s="324"/>
      <c r="X447" s="451"/>
      <c r="Y447" s="451"/>
      <c r="Z447" s="451"/>
      <c r="AA447" s="451"/>
      <c r="AB447" s="324"/>
      <c r="AP447" s="324"/>
      <c r="AQ447" s="324"/>
      <c r="AR447" s="451"/>
      <c r="AS447" s="324"/>
    </row>
    <row r="448" customFormat="false" ht="12.75" hidden="false" customHeight="false" outlineLevel="0" collapsed="false">
      <c r="G448" s="324"/>
      <c r="H448" s="324"/>
      <c r="I448" s="324"/>
      <c r="J448" s="324"/>
      <c r="K448" s="324"/>
      <c r="L448" s="324"/>
      <c r="M448" s="451"/>
      <c r="N448" s="451"/>
      <c r="O448" s="451"/>
      <c r="P448" s="324"/>
      <c r="Q448" s="324"/>
      <c r="R448" s="324"/>
      <c r="S448" s="324"/>
      <c r="T448" s="324"/>
      <c r="U448" s="324"/>
      <c r="V448" s="324"/>
      <c r="W448" s="324"/>
      <c r="X448" s="451"/>
      <c r="Y448" s="451"/>
      <c r="Z448" s="451"/>
      <c r="AA448" s="451"/>
      <c r="AB448" s="324"/>
      <c r="AP448" s="324"/>
      <c r="AQ448" s="324"/>
      <c r="AR448" s="451"/>
      <c r="AS448" s="324"/>
    </row>
    <row r="449" customFormat="false" ht="12.75" hidden="false" customHeight="false" outlineLevel="0" collapsed="false">
      <c r="G449" s="324"/>
      <c r="H449" s="324"/>
      <c r="I449" s="324"/>
      <c r="J449" s="324"/>
      <c r="K449" s="324"/>
      <c r="L449" s="324"/>
      <c r="M449" s="451"/>
      <c r="N449" s="451"/>
      <c r="O449" s="451"/>
      <c r="P449" s="324"/>
      <c r="Q449" s="324"/>
      <c r="R449" s="324"/>
      <c r="S449" s="324"/>
      <c r="T449" s="324"/>
      <c r="U449" s="324"/>
      <c r="V449" s="324"/>
      <c r="W449" s="324"/>
      <c r="X449" s="451"/>
      <c r="Y449" s="451"/>
      <c r="Z449" s="451"/>
      <c r="AA449" s="451"/>
      <c r="AB449" s="324"/>
      <c r="AP449" s="324"/>
      <c r="AQ449" s="324"/>
      <c r="AR449" s="451"/>
      <c r="AS449" s="324"/>
    </row>
    <row r="450" customFormat="false" ht="12.75" hidden="false" customHeight="false" outlineLevel="0" collapsed="false">
      <c r="G450" s="324"/>
      <c r="H450" s="324"/>
      <c r="I450" s="324"/>
      <c r="J450" s="324"/>
      <c r="K450" s="324"/>
      <c r="L450" s="324"/>
      <c r="M450" s="451"/>
      <c r="N450" s="451"/>
      <c r="O450" s="451"/>
      <c r="P450" s="324"/>
      <c r="Q450" s="324"/>
      <c r="R450" s="324"/>
      <c r="S450" s="324"/>
      <c r="T450" s="324"/>
      <c r="U450" s="324"/>
      <c r="V450" s="324"/>
      <c r="W450" s="324"/>
      <c r="X450" s="451"/>
      <c r="Y450" s="451"/>
      <c r="Z450" s="451"/>
      <c r="AA450" s="451"/>
      <c r="AB450" s="324"/>
      <c r="AP450" s="324"/>
      <c r="AQ450" s="324"/>
      <c r="AR450" s="451"/>
      <c r="AS450" s="324"/>
    </row>
    <row r="451" customFormat="false" ht="12.75" hidden="false" customHeight="false" outlineLevel="0" collapsed="false">
      <c r="G451" s="324"/>
      <c r="H451" s="324"/>
      <c r="I451" s="324"/>
      <c r="J451" s="324"/>
      <c r="K451" s="324"/>
      <c r="L451" s="324"/>
      <c r="M451" s="451"/>
      <c r="N451" s="451"/>
      <c r="O451" s="451"/>
      <c r="P451" s="324"/>
      <c r="Q451" s="324"/>
      <c r="R451" s="324"/>
      <c r="S451" s="324"/>
      <c r="T451" s="324"/>
      <c r="U451" s="324"/>
      <c r="V451" s="324"/>
      <c r="W451" s="324"/>
      <c r="X451" s="451"/>
      <c r="Y451" s="451"/>
      <c r="Z451" s="451"/>
      <c r="AA451" s="451"/>
      <c r="AB451" s="324"/>
      <c r="AP451" s="324"/>
      <c r="AQ451" s="324"/>
      <c r="AR451" s="451"/>
      <c r="AS451" s="324"/>
    </row>
    <row r="452" customFormat="false" ht="12.75" hidden="false" customHeight="false" outlineLevel="0" collapsed="false">
      <c r="G452" s="324"/>
      <c r="H452" s="324"/>
      <c r="I452" s="324"/>
      <c r="J452" s="324"/>
      <c r="K452" s="324"/>
      <c r="L452" s="324"/>
      <c r="M452" s="451"/>
      <c r="N452" s="451"/>
      <c r="O452" s="451"/>
      <c r="P452" s="324"/>
      <c r="Q452" s="324"/>
      <c r="R452" s="324"/>
      <c r="S452" s="324"/>
      <c r="T452" s="324"/>
      <c r="U452" s="324"/>
      <c r="V452" s="324"/>
      <c r="W452" s="324"/>
      <c r="X452" s="451"/>
      <c r="Y452" s="451"/>
      <c r="Z452" s="451"/>
      <c r="AA452" s="451"/>
      <c r="AB452" s="324"/>
      <c r="AP452" s="324"/>
      <c r="AQ452" s="324"/>
      <c r="AR452" s="451"/>
      <c r="AS452" s="324"/>
    </row>
    <row r="453" customFormat="false" ht="12.75" hidden="false" customHeight="false" outlineLevel="0" collapsed="false">
      <c r="G453" s="324"/>
      <c r="H453" s="324"/>
      <c r="I453" s="324"/>
      <c r="J453" s="324"/>
      <c r="K453" s="324"/>
      <c r="L453" s="324"/>
      <c r="M453" s="451"/>
      <c r="N453" s="451"/>
      <c r="O453" s="451"/>
      <c r="P453" s="324"/>
      <c r="Q453" s="324"/>
      <c r="R453" s="324"/>
      <c r="S453" s="324"/>
      <c r="T453" s="324"/>
      <c r="U453" s="324"/>
      <c r="V453" s="324"/>
      <c r="W453" s="324"/>
      <c r="X453" s="451"/>
      <c r="Y453" s="451"/>
      <c r="Z453" s="451"/>
      <c r="AA453" s="451"/>
      <c r="AB453" s="324"/>
      <c r="AP453" s="324"/>
      <c r="AQ453" s="324"/>
      <c r="AR453" s="451"/>
      <c r="AS453" s="324"/>
    </row>
    <row r="454" customFormat="false" ht="12.75" hidden="false" customHeight="false" outlineLevel="0" collapsed="false">
      <c r="G454" s="324"/>
      <c r="H454" s="324"/>
      <c r="I454" s="324"/>
      <c r="J454" s="324"/>
      <c r="K454" s="324"/>
      <c r="L454" s="324"/>
      <c r="M454" s="451"/>
      <c r="N454" s="451"/>
      <c r="O454" s="451"/>
      <c r="P454" s="324"/>
      <c r="Q454" s="324"/>
      <c r="R454" s="324"/>
      <c r="S454" s="324"/>
      <c r="T454" s="324"/>
      <c r="U454" s="324"/>
      <c r="V454" s="324"/>
      <c r="W454" s="324"/>
      <c r="X454" s="451"/>
      <c r="Y454" s="451"/>
      <c r="Z454" s="451"/>
      <c r="AA454" s="451"/>
      <c r="AB454" s="324"/>
      <c r="AP454" s="324"/>
      <c r="AQ454" s="324"/>
      <c r="AR454" s="451"/>
      <c r="AS454" s="324"/>
    </row>
    <row r="455" customFormat="false" ht="12.75" hidden="false" customHeight="false" outlineLevel="0" collapsed="false">
      <c r="G455" s="324"/>
      <c r="H455" s="324"/>
      <c r="I455" s="324"/>
      <c r="J455" s="324"/>
      <c r="K455" s="324"/>
      <c r="L455" s="324"/>
      <c r="M455" s="451"/>
      <c r="N455" s="451"/>
      <c r="O455" s="451"/>
      <c r="P455" s="324"/>
      <c r="Q455" s="324"/>
      <c r="R455" s="324"/>
      <c r="S455" s="324"/>
      <c r="T455" s="324"/>
      <c r="U455" s="324"/>
      <c r="V455" s="324"/>
      <c r="W455" s="324"/>
      <c r="X455" s="451"/>
      <c r="Y455" s="451"/>
      <c r="Z455" s="451"/>
      <c r="AA455" s="451"/>
      <c r="AB455" s="324"/>
      <c r="AP455" s="324"/>
      <c r="AQ455" s="324"/>
      <c r="AR455" s="451"/>
      <c r="AS455" s="324"/>
    </row>
    <row r="456" customFormat="false" ht="12.75" hidden="false" customHeight="false" outlineLevel="0" collapsed="false">
      <c r="G456" s="324"/>
      <c r="H456" s="324"/>
      <c r="I456" s="324"/>
      <c r="J456" s="324"/>
      <c r="K456" s="324"/>
      <c r="L456" s="324"/>
      <c r="M456" s="451"/>
      <c r="N456" s="451"/>
      <c r="O456" s="451"/>
      <c r="P456" s="324"/>
      <c r="Q456" s="324"/>
      <c r="R456" s="324"/>
      <c r="S456" s="324"/>
      <c r="T456" s="324"/>
      <c r="U456" s="324"/>
      <c r="V456" s="324"/>
      <c r="W456" s="324"/>
      <c r="X456" s="451"/>
      <c r="Y456" s="451"/>
      <c r="Z456" s="451"/>
      <c r="AA456" s="451"/>
      <c r="AB456" s="324"/>
      <c r="AP456" s="324"/>
      <c r="AQ456" s="324"/>
      <c r="AR456" s="451"/>
      <c r="AS456" s="324"/>
    </row>
    <row r="457" customFormat="false" ht="12.75" hidden="false" customHeight="false" outlineLevel="0" collapsed="false">
      <c r="G457" s="324"/>
      <c r="H457" s="324"/>
      <c r="I457" s="324"/>
      <c r="J457" s="324"/>
      <c r="K457" s="324"/>
      <c r="L457" s="324"/>
      <c r="M457" s="451"/>
      <c r="N457" s="451"/>
      <c r="O457" s="451"/>
      <c r="P457" s="324"/>
      <c r="Q457" s="324"/>
      <c r="R457" s="324"/>
      <c r="S457" s="324"/>
      <c r="T457" s="324"/>
      <c r="U457" s="324"/>
      <c r="V457" s="324"/>
      <c r="W457" s="324"/>
      <c r="X457" s="451"/>
      <c r="Y457" s="451"/>
      <c r="Z457" s="451"/>
      <c r="AA457" s="451"/>
      <c r="AB457" s="324"/>
      <c r="AP457" s="324"/>
      <c r="AQ457" s="324"/>
      <c r="AR457" s="451"/>
      <c r="AS457" s="324"/>
    </row>
    <row r="458" customFormat="false" ht="12.75" hidden="false" customHeight="false" outlineLevel="0" collapsed="false">
      <c r="G458" s="324"/>
      <c r="H458" s="324"/>
      <c r="I458" s="324"/>
      <c r="J458" s="324"/>
      <c r="K458" s="324"/>
      <c r="L458" s="324"/>
      <c r="M458" s="451"/>
      <c r="N458" s="451"/>
      <c r="O458" s="451"/>
      <c r="P458" s="324"/>
      <c r="Q458" s="324"/>
      <c r="R458" s="324"/>
      <c r="S458" s="324"/>
      <c r="T458" s="324"/>
      <c r="U458" s="324"/>
      <c r="V458" s="324"/>
      <c r="W458" s="324"/>
      <c r="X458" s="451"/>
      <c r="Y458" s="451"/>
      <c r="Z458" s="451"/>
      <c r="AA458" s="451"/>
      <c r="AB458" s="324"/>
      <c r="AP458" s="324"/>
      <c r="AQ458" s="324"/>
      <c r="AR458" s="451"/>
      <c r="AS458" s="324"/>
    </row>
    <row r="459" customFormat="false" ht="12.75" hidden="false" customHeight="false" outlineLevel="0" collapsed="false">
      <c r="G459" s="324"/>
      <c r="H459" s="324"/>
      <c r="I459" s="324"/>
      <c r="J459" s="324"/>
      <c r="K459" s="324"/>
      <c r="L459" s="324"/>
      <c r="M459" s="451"/>
      <c r="N459" s="451"/>
      <c r="O459" s="451"/>
      <c r="P459" s="324"/>
      <c r="Q459" s="324"/>
      <c r="R459" s="324"/>
      <c r="S459" s="324"/>
      <c r="T459" s="324"/>
      <c r="U459" s="324"/>
      <c r="V459" s="324"/>
      <c r="W459" s="324"/>
      <c r="X459" s="451"/>
      <c r="Y459" s="451"/>
      <c r="Z459" s="451"/>
      <c r="AA459" s="451"/>
      <c r="AB459" s="324"/>
      <c r="AP459" s="324"/>
      <c r="AQ459" s="324"/>
      <c r="AR459" s="451"/>
      <c r="AS459" s="324"/>
    </row>
    <row r="460" customFormat="false" ht="12.75" hidden="false" customHeight="false" outlineLevel="0" collapsed="false">
      <c r="G460" s="324"/>
      <c r="H460" s="324"/>
      <c r="I460" s="324"/>
      <c r="J460" s="324"/>
      <c r="K460" s="324"/>
      <c r="L460" s="324"/>
      <c r="M460" s="451"/>
      <c r="N460" s="451"/>
      <c r="O460" s="451"/>
      <c r="P460" s="324"/>
      <c r="Q460" s="324"/>
      <c r="R460" s="324"/>
      <c r="S460" s="324"/>
      <c r="T460" s="324"/>
      <c r="U460" s="324"/>
      <c r="V460" s="324"/>
      <c r="W460" s="324"/>
      <c r="X460" s="451"/>
      <c r="Y460" s="451"/>
      <c r="Z460" s="451"/>
      <c r="AA460" s="451"/>
      <c r="AB460" s="324"/>
      <c r="AP460" s="324"/>
      <c r="AQ460" s="324"/>
      <c r="AR460" s="451"/>
      <c r="AS460" s="324"/>
    </row>
    <row r="461" customFormat="false" ht="12.75" hidden="false" customHeight="false" outlineLevel="0" collapsed="false">
      <c r="G461" s="324"/>
      <c r="H461" s="324"/>
      <c r="I461" s="324"/>
      <c r="J461" s="324"/>
      <c r="K461" s="324"/>
      <c r="L461" s="324"/>
      <c r="M461" s="451"/>
      <c r="N461" s="451"/>
      <c r="O461" s="451"/>
      <c r="P461" s="324"/>
      <c r="Q461" s="324"/>
      <c r="R461" s="324"/>
      <c r="S461" s="324"/>
      <c r="T461" s="324"/>
      <c r="U461" s="324"/>
      <c r="V461" s="324"/>
      <c r="W461" s="324"/>
      <c r="X461" s="451"/>
      <c r="Y461" s="451"/>
      <c r="Z461" s="451"/>
      <c r="AA461" s="451"/>
      <c r="AB461" s="324"/>
      <c r="AP461" s="324"/>
      <c r="AQ461" s="324"/>
      <c r="AR461" s="451"/>
      <c r="AS461" s="324"/>
    </row>
    <row r="462" customFormat="false" ht="12.75" hidden="false" customHeight="false" outlineLevel="0" collapsed="false">
      <c r="G462" s="324"/>
      <c r="H462" s="324"/>
      <c r="I462" s="324"/>
      <c r="J462" s="324"/>
      <c r="K462" s="324"/>
      <c r="L462" s="324"/>
      <c r="M462" s="451"/>
      <c r="N462" s="451"/>
      <c r="O462" s="451"/>
      <c r="P462" s="324"/>
      <c r="Q462" s="324"/>
      <c r="R462" s="324"/>
      <c r="S462" s="324"/>
      <c r="T462" s="324"/>
      <c r="U462" s="324"/>
      <c r="V462" s="324"/>
      <c r="W462" s="324"/>
      <c r="X462" s="451"/>
      <c r="Y462" s="451"/>
      <c r="Z462" s="451"/>
      <c r="AA462" s="451"/>
      <c r="AB462" s="324"/>
      <c r="AP462" s="324"/>
      <c r="AQ462" s="324"/>
      <c r="AR462" s="451"/>
      <c r="AS462" s="324"/>
    </row>
    <row r="463" customFormat="false" ht="12.75" hidden="false" customHeight="false" outlineLevel="0" collapsed="false">
      <c r="G463" s="324"/>
      <c r="H463" s="324"/>
      <c r="I463" s="324"/>
      <c r="J463" s="324"/>
      <c r="K463" s="324"/>
      <c r="L463" s="324"/>
      <c r="M463" s="451"/>
      <c r="N463" s="451"/>
      <c r="O463" s="451"/>
      <c r="P463" s="324"/>
      <c r="Q463" s="324"/>
      <c r="R463" s="324"/>
      <c r="S463" s="324"/>
      <c r="T463" s="324"/>
      <c r="U463" s="324"/>
      <c r="V463" s="324"/>
      <c r="W463" s="324"/>
      <c r="X463" s="451"/>
      <c r="Y463" s="451"/>
      <c r="Z463" s="451"/>
      <c r="AA463" s="451"/>
      <c r="AB463" s="324"/>
      <c r="AP463" s="324"/>
      <c r="AQ463" s="324"/>
      <c r="AR463" s="451"/>
      <c r="AS463" s="324"/>
    </row>
    <row r="464" customFormat="false" ht="12.75" hidden="false" customHeight="false" outlineLevel="0" collapsed="false">
      <c r="G464" s="324"/>
      <c r="H464" s="324"/>
      <c r="I464" s="324"/>
      <c r="J464" s="324"/>
      <c r="K464" s="324"/>
      <c r="L464" s="324"/>
      <c r="M464" s="451"/>
      <c r="N464" s="451"/>
      <c r="O464" s="451"/>
      <c r="P464" s="324"/>
      <c r="Q464" s="324"/>
      <c r="R464" s="324"/>
      <c r="S464" s="324"/>
      <c r="T464" s="324"/>
      <c r="U464" s="324"/>
      <c r="V464" s="324"/>
      <c r="W464" s="324"/>
      <c r="X464" s="451"/>
      <c r="Y464" s="451"/>
      <c r="Z464" s="451"/>
      <c r="AA464" s="451"/>
      <c r="AB464" s="324"/>
      <c r="AP464" s="324"/>
      <c r="AQ464" s="324"/>
      <c r="AR464" s="451"/>
      <c r="AS464" s="324"/>
    </row>
    <row r="465" customFormat="false" ht="12.75" hidden="false" customHeight="false" outlineLevel="0" collapsed="false">
      <c r="G465" s="324"/>
      <c r="H465" s="324"/>
      <c r="I465" s="324"/>
      <c r="J465" s="324"/>
      <c r="K465" s="324"/>
      <c r="L465" s="324"/>
      <c r="M465" s="451"/>
      <c r="N465" s="451"/>
      <c r="O465" s="451"/>
      <c r="P465" s="324"/>
      <c r="Q465" s="324"/>
      <c r="R465" s="324"/>
      <c r="S465" s="324"/>
      <c r="T465" s="324"/>
      <c r="U465" s="324"/>
      <c r="V465" s="324"/>
      <c r="W465" s="324"/>
      <c r="X465" s="451"/>
      <c r="Y465" s="451"/>
      <c r="Z465" s="451"/>
      <c r="AA465" s="451"/>
      <c r="AB465" s="324"/>
      <c r="AP465" s="324"/>
      <c r="AQ465" s="324"/>
      <c r="AR465" s="451"/>
      <c r="AS465" s="324"/>
    </row>
    <row r="466" customFormat="false" ht="12.75" hidden="false" customHeight="false" outlineLevel="0" collapsed="false">
      <c r="G466" s="324"/>
      <c r="H466" s="324"/>
      <c r="I466" s="324"/>
      <c r="J466" s="324"/>
      <c r="K466" s="324"/>
      <c r="L466" s="324"/>
      <c r="M466" s="451"/>
      <c r="N466" s="451"/>
      <c r="O466" s="451"/>
      <c r="P466" s="324"/>
      <c r="Q466" s="324"/>
      <c r="R466" s="324"/>
      <c r="S466" s="324"/>
      <c r="T466" s="324"/>
      <c r="U466" s="324"/>
      <c r="V466" s="324"/>
      <c r="W466" s="324"/>
      <c r="X466" s="451"/>
      <c r="Y466" s="451"/>
      <c r="Z466" s="451"/>
      <c r="AA466" s="451"/>
      <c r="AB466" s="324"/>
      <c r="AP466" s="324"/>
      <c r="AQ466" s="324"/>
      <c r="AR466" s="451"/>
      <c r="AS466" s="324"/>
    </row>
    <row r="467" customFormat="false" ht="12.75" hidden="false" customHeight="false" outlineLevel="0" collapsed="false">
      <c r="G467" s="324"/>
      <c r="H467" s="324"/>
      <c r="I467" s="324"/>
      <c r="J467" s="324"/>
      <c r="K467" s="324"/>
      <c r="L467" s="324"/>
      <c r="M467" s="451"/>
      <c r="N467" s="451"/>
      <c r="O467" s="451"/>
      <c r="P467" s="324"/>
      <c r="Q467" s="324"/>
      <c r="R467" s="324"/>
      <c r="S467" s="324"/>
      <c r="T467" s="324"/>
      <c r="U467" s="324"/>
      <c r="V467" s="324"/>
      <c r="W467" s="324"/>
      <c r="X467" s="451"/>
      <c r="Y467" s="451"/>
      <c r="Z467" s="451"/>
      <c r="AA467" s="451"/>
      <c r="AB467" s="324"/>
      <c r="AP467" s="324"/>
      <c r="AQ467" s="324"/>
      <c r="AR467" s="451"/>
      <c r="AS467" s="324"/>
    </row>
    <row r="468" customFormat="false" ht="12.75" hidden="false" customHeight="false" outlineLevel="0" collapsed="false">
      <c r="G468" s="324"/>
      <c r="H468" s="324"/>
      <c r="I468" s="324"/>
      <c r="J468" s="324"/>
      <c r="K468" s="324"/>
      <c r="L468" s="324"/>
      <c r="M468" s="451"/>
      <c r="N468" s="451"/>
      <c r="O468" s="451"/>
      <c r="P468" s="324"/>
      <c r="Q468" s="324"/>
      <c r="R468" s="324"/>
      <c r="S468" s="324"/>
      <c r="T468" s="324"/>
      <c r="U468" s="324"/>
      <c r="V468" s="324"/>
      <c r="W468" s="324"/>
      <c r="X468" s="451"/>
      <c r="Y468" s="451"/>
      <c r="Z468" s="451"/>
      <c r="AA468" s="451"/>
      <c r="AB468" s="324"/>
      <c r="AP468" s="324"/>
      <c r="AQ468" s="324"/>
      <c r="AR468" s="451"/>
      <c r="AS468" s="324"/>
    </row>
    <row r="469" customFormat="false" ht="12.75" hidden="false" customHeight="false" outlineLevel="0" collapsed="false">
      <c r="G469" s="324"/>
      <c r="H469" s="324"/>
      <c r="I469" s="324"/>
      <c r="J469" s="324"/>
      <c r="K469" s="324"/>
      <c r="L469" s="324"/>
      <c r="M469" s="451"/>
      <c r="N469" s="451"/>
      <c r="O469" s="451"/>
      <c r="P469" s="324"/>
      <c r="Q469" s="324"/>
      <c r="R469" s="324"/>
      <c r="S469" s="324"/>
      <c r="T469" s="324"/>
      <c r="U469" s="324"/>
      <c r="V469" s="324"/>
      <c r="W469" s="324"/>
      <c r="X469" s="451"/>
      <c r="Y469" s="451"/>
      <c r="Z469" s="451"/>
      <c r="AA469" s="451"/>
      <c r="AB469" s="324"/>
      <c r="AP469" s="324"/>
      <c r="AQ469" s="324"/>
      <c r="AR469" s="451"/>
      <c r="AS469" s="324"/>
    </row>
    <row r="470" customFormat="false" ht="12.75" hidden="false" customHeight="false" outlineLevel="0" collapsed="false">
      <c r="G470" s="324"/>
      <c r="H470" s="324"/>
      <c r="I470" s="324"/>
      <c r="J470" s="324"/>
      <c r="K470" s="324"/>
      <c r="L470" s="324"/>
      <c r="M470" s="451"/>
      <c r="N470" s="451"/>
      <c r="O470" s="451"/>
      <c r="P470" s="324"/>
      <c r="Q470" s="324"/>
      <c r="R470" s="324"/>
      <c r="S470" s="324"/>
      <c r="T470" s="324"/>
      <c r="U470" s="324"/>
      <c r="V470" s="324"/>
      <c r="W470" s="324"/>
      <c r="X470" s="451"/>
      <c r="Y470" s="451"/>
      <c r="Z470" s="451"/>
      <c r="AA470" s="451"/>
      <c r="AB470" s="324"/>
      <c r="AP470" s="324"/>
      <c r="AQ470" s="324"/>
      <c r="AR470" s="451"/>
      <c r="AS470" s="324"/>
    </row>
    <row r="471" customFormat="false" ht="12.75" hidden="false" customHeight="false" outlineLevel="0" collapsed="false">
      <c r="G471" s="324"/>
      <c r="H471" s="324"/>
      <c r="I471" s="324"/>
      <c r="J471" s="324"/>
      <c r="K471" s="324"/>
      <c r="L471" s="324"/>
      <c r="M471" s="451"/>
      <c r="N471" s="451"/>
      <c r="O471" s="451"/>
      <c r="P471" s="324"/>
      <c r="Q471" s="324"/>
      <c r="R471" s="324"/>
      <c r="S471" s="324"/>
      <c r="T471" s="324"/>
      <c r="U471" s="324"/>
      <c r="V471" s="324"/>
      <c r="W471" s="324"/>
      <c r="X471" s="451"/>
      <c r="Y471" s="451"/>
      <c r="Z471" s="451"/>
      <c r="AA471" s="451"/>
      <c r="AB471" s="324"/>
      <c r="AP471" s="324"/>
      <c r="AQ471" s="324"/>
      <c r="AR471" s="451"/>
      <c r="AS471" s="324"/>
    </row>
    <row r="472" customFormat="false" ht="12.75" hidden="false" customHeight="false" outlineLevel="0" collapsed="false">
      <c r="G472" s="324"/>
      <c r="H472" s="324"/>
      <c r="I472" s="324"/>
      <c r="J472" s="324"/>
      <c r="K472" s="324"/>
      <c r="L472" s="324"/>
      <c r="M472" s="451"/>
      <c r="N472" s="451"/>
      <c r="O472" s="451"/>
      <c r="P472" s="324"/>
      <c r="Q472" s="324"/>
      <c r="R472" s="324"/>
      <c r="S472" s="324"/>
      <c r="T472" s="324"/>
      <c r="U472" s="324"/>
      <c r="V472" s="324"/>
      <c r="W472" s="324"/>
      <c r="X472" s="451"/>
      <c r="Y472" s="451"/>
      <c r="Z472" s="451"/>
      <c r="AA472" s="451"/>
      <c r="AB472" s="324"/>
      <c r="AP472" s="324"/>
      <c r="AQ472" s="324"/>
      <c r="AR472" s="451"/>
      <c r="AS472" s="324"/>
    </row>
    <row r="473" customFormat="false" ht="12.75" hidden="false" customHeight="false" outlineLevel="0" collapsed="false">
      <c r="G473" s="324"/>
      <c r="H473" s="324"/>
      <c r="I473" s="324"/>
      <c r="J473" s="324"/>
      <c r="K473" s="324"/>
      <c r="L473" s="324"/>
      <c r="M473" s="451"/>
      <c r="N473" s="451"/>
      <c r="O473" s="451"/>
      <c r="P473" s="324"/>
      <c r="Q473" s="324"/>
      <c r="R473" s="324"/>
      <c r="S473" s="324"/>
      <c r="T473" s="324"/>
      <c r="U473" s="324"/>
      <c r="V473" s="324"/>
      <c r="W473" s="324"/>
      <c r="X473" s="451"/>
      <c r="Y473" s="451"/>
      <c r="Z473" s="451"/>
      <c r="AA473" s="451"/>
      <c r="AB473" s="324"/>
      <c r="AP473" s="324"/>
      <c r="AQ473" s="324"/>
      <c r="AR473" s="451"/>
      <c r="AS473" s="324"/>
    </row>
    <row r="474" customFormat="false" ht="12.75" hidden="false" customHeight="false" outlineLevel="0" collapsed="false">
      <c r="G474" s="324"/>
      <c r="H474" s="324"/>
      <c r="I474" s="324"/>
      <c r="J474" s="324"/>
      <c r="K474" s="324"/>
      <c r="L474" s="324"/>
      <c r="M474" s="451"/>
      <c r="N474" s="451"/>
      <c r="O474" s="451"/>
      <c r="P474" s="324"/>
      <c r="Q474" s="324"/>
      <c r="R474" s="324"/>
      <c r="S474" s="324"/>
      <c r="T474" s="324"/>
      <c r="U474" s="324"/>
      <c r="V474" s="324"/>
      <c r="W474" s="324"/>
      <c r="X474" s="451"/>
      <c r="Y474" s="451"/>
      <c r="Z474" s="451"/>
      <c r="AA474" s="451"/>
      <c r="AB474" s="324"/>
      <c r="AP474" s="324"/>
      <c r="AQ474" s="324"/>
      <c r="AR474" s="451"/>
      <c r="AS474" s="324"/>
    </row>
    <row r="475" customFormat="false" ht="12.75" hidden="false" customHeight="false" outlineLevel="0" collapsed="false">
      <c r="G475" s="324"/>
      <c r="H475" s="324"/>
      <c r="I475" s="324"/>
      <c r="J475" s="324"/>
      <c r="K475" s="324"/>
      <c r="L475" s="324"/>
      <c r="M475" s="451"/>
      <c r="N475" s="451"/>
      <c r="O475" s="451"/>
      <c r="P475" s="324"/>
      <c r="Q475" s="324"/>
      <c r="R475" s="324"/>
      <c r="S475" s="324"/>
      <c r="T475" s="324"/>
      <c r="U475" s="324"/>
      <c r="V475" s="324"/>
      <c r="W475" s="324"/>
      <c r="X475" s="451"/>
      <c r="Y475" s="451"/>
      <c r="Z475" s="451"/>
      <c r="AA475" s="451"/>
      <c r="AB475" s="324"/>
      <c r="AP475" s="324"/>
      <c r="AQ475" s="324"/>
      <c r="AR475" s="451"/>
      <c r="AS475" s="324"/>
    </row>
    <row r="476" customFormat="false" ht="12.75" hidden="false" customHeight="false" outlineLevel="0" collapsed="false">
      <c r="G476" s="324"/>
      <c r="H476" s="324"/>
      <c r="I476" s="324"/>
      <c r="J476" s="324"/>
      <c r="K476" s="324"/>
      <c r="L476" s="324"/>
      <c r="M476" s="451"/>
      <c r="N476" s="451"/>
      <c r="O476" s="451"/>
      <c r="P476" s="324"/>
      <c r="Q476" s="324"/>
      <c r="R476" s="324"/>
      <c r="S476" s="324"/>
      <c r="T476" s="324"/>
      <c r="U476" s="324"/>
      <c r="V476" s="324"/>
      <c r="W476" s="324"/>
      <c r="X476" s="451"/>
      <c r="Y476" s="451"/>
      <c r="Z476" s="451"/>
      <c r="AA476" s="451"/>
      <c r="AB476" s="324"/>
      <c r="AP476" s="324"/>
      <c r="AQ476" s="324"/>
      <c r="AR476" s="451"/>
      <c r="AS476" s="324"/>
    </row>
    <row r="477" customFormat="false" ht="12.75" hidden="false" customHeight="false" outlineLevel="0" collapsed="false">
      <c r="G477" s="324"/>
      <c r="H477" s="324"/>
      <c r="I477" s="324"/>
      <c r="J477" s="324"/>
      <c r="K477" s="324"/>
      <c r="L477" s="324"/>
      <c r="M477" s="451"/>
      <c r="N477" s="451"/>
      <c r="O477" s="451"/>
      <c r="P477" s="324"/>
      <c r="Q477" s="324"/>
      <c r="R477" s="324"/>
      <c r="S477" s="324"/>
      <c r="T477" s="324"/>
      <c r="U477" s="324"/>
      <c r="V477" s="324"/>
      <c r="W477" s="324"/>
      <c r="X477" s="451"/>
      <c r="Y477" s="451"/>
      <c r="Z477" s="451"/>
      <c r="AA477" s="451"/>
      <c r="AB477" s="324"/>
      <c r="AP477" s="324"/>
      <c r="AQ477" s="324"/>
      <c r="AR477" s="451"/>
      <c r="AS477" s="324"/>
    </row>
    <row r="478" customFormat="false" ht="12.75" hidden="false" customHeight="false" outlineLevel="0" collapsed="false">
      <c r="G478" s="324"/>
      <c r="H478" s="324"/>
      <c r="I478" s="324"/>
      <c r="J478" s="324"/>
      <c r="K478" s="324"/>
      <c r="L478" s="324"/>
      <c r="M478" s="451"/>
      <c r="N478" s="451"/>
      <c r="O478" s="451"/>
      <c r="P478" s="324"/>
      <c r="Q478" s="324"/>
      <c r="R478" s="324"/>
      <c r="S478" s="324"/>
      <c r="T478" s="324"/>
      <c r="U478" s="324"/>
      <c r="V478" s="324"/>
      <c r="W478" s="324"/>
      <c r="X478" s="451"/>
      <c r="Y478" s="451"/>
      <c r="Z478" s="451"/>
      <c r="AA478" s="451"/>
      <c r="AB478" s="324"/>
      <c r="AP478" s="324"/>
      <c r="AQ478" s="324"/>
      <c r="AR478" s="451"/>
      <c r="AS478" s="324"/>
    </row>
    <row r="479" customFormat="false" ht="12.75" hidden="false" customHeight="false" outlineLevel="0" collapsed="false">
      <c r="G479" s="324"/>
      <c r="H479" s="324"/>
      <c r="I479" s="324"/>
      <c r="J479" s="324"/>
      <c r="K479" s="324"/>
      <c r="L479" s="324"/>
      <c r="M479" s="451"/>
      <c r="N479" s="451"/>
      <c r="O479" s="451"/>
      <c r="P479" s="324"/>
      <c r="Q479" s="324"/>
      <c r="R479" s="324"/>
      <c r="S479" s="324"/>
      <c r="T479" s="324"/>
      <c r="U479" s="324"/>
      <c r="V479" s="324"/>
      <c r="W479" s="324"/>
      <c r="X479" s="451"/>
      <c r="Y479" s="451"/>
      <c r="Z479" s="451"/>
      <c r="AA479" s="451"/>
      <c r="AB479" s="324"/>
      <c r="AP479" s="324"/>
      <c r="AQ479" s="324"/>
      <c r="AR479" s="451"/>
      <c r="AS479" s="324"/>
    </row>
    <row r="480" customFormat="false" ht="12.75" hidden="false" customHeight="false" outlineLevel="0" collapsed="false">
      <c r="G480" s="324"/>
      <c r="H480" s="324"/>
      <c r="I480" s="324"/>
      <c r="J480" s="324"/>
      <c r="K480" s="324"/>
      <c r="L480" s="324"/>
      <c r="M480" s="451"/>
      <c r="N480" s="451"/>
      <c r="O480" s="451"/>
      <c r="P480" s="324"/>
      <c r="Q480" s="324"/>
      <c r="R480" s="324"/>
      <c r="S480" s="324"/>
      <c r="T480" s="324"/>
      <c r="U480" s="324"/>
      <c r="V480" s="324"/>
      <c r="W480" s="324"/>
      <c r="X480" s="451"/>
      <c r="Y480" s="451"/>
      <c r="Z480" s="451"/>
      <c r="AA480" s="451"/>
      <c r="AB480" s="324"/>
      <c r="AP480" s="324"/>
      <c r="AQ480" s="324"/>
      <c r="AR480" s="451"/>
      <c r="AS480" s="324"/>
    </row>
    <row r="481" customFormat="false" ht="12.75" hidden="false" customHeight="false" outlineLevel="0" collapsed="false">
      <c r="G481" s="324"/>
      <c r="H481" s="324"/>
      <c r="I481" s="324"/>
      <c r="J481" s="324"/>
      <c r="K481" s="324"/>
      <c r="L481" s="324"/>
      <c r="M481" s="451"/>
      <c r="N481" s="451"/>
      <c r="O481" s="451"/>
      <c r="P481" s="324"/>
      <c r="Q481" s="324"/>
      <c r="R481" s="324"/>
      <c r="S481" s="324"/>
      <c r="T481" s="324"/>
      <c r="U481" s="324"/>
      <c r="V481" s="324"/>
      <c r="W481" s="324"/>
      <c r="X481" s="451"/>
      <c r="Y481" s="451"/>
      <c r="Z481" s="451"/>
      <c r="AA481" s="451"/>
      <c r="AB481" s="324"/>
      <c r="AP481" s="324"/>
      <c r="AQ481" s="324"/>
      <c r="AR481" s="451"/>
      <c r="AS481" s="324"/>
    </row>
    <row r="482" customFormat="false" ht="12.75" hidden="false" customHeight="false" outlineLevel="0" collapsed="false">
      <c r="G482" s="324"/>
      <c r="H482" s="324"/>
      <c r="I482" s="324"/>
      <c r="J482" s="324"/>
      <c r="K482" s="324"/>
      <c r="L482" s="324"/>
      <c r="M482" s="451"/>
      <c r="N482" s="451"/>
      <c r="O482" s="451"/>
      <c r="P482" s="324"/>
      <c r="Q482" s="324"/>
      <c r="R482" s="324"/>
      <c r="S482" s="324"/>
      <c r="T482" s="324"/>
      <c r="U482" s="324"/>
      <c r="V482" s="324"/>
      <c r="W482" s="324"/>
      <c r="X482" s="451"/>
      <c r="Y482" s="451"/>
      <c r="Z482" s="451"/>
      <c r="AA482" s="451"/>
      <c r="AB482" s="324"/>
      <c r="AP482" s="324"/>
      <c r="AQ482" s="324"/>
      <c r="AR482" s="451"/>
      <c r="AS482" s="324"/>
    </row>
    <row r="483" customFormat="false" ht="12.75" hidden="false" customHeight="false" outlineLevel="0" collapsed="false">
      <c r="G483" s="324"/>
      <c r="H483" s="324"/>
      <c r="I483" s="324"/>
      <c r="J483" s="324"/>
      <c r="K483" s="324"/>
      <c r="L483" s="324"/>
      <c r="M483" s="451"/>
      <c r="N483" s="451"/>
      <c r="O483" s="451"/>
      <c r="P483" s="324"/>
      <c r="Q483" s="324"/>
      <c r="R483" s="324"/>
      <c r="S483" s="324"/>
      <c r="T483" s="324"/>
      <c r="U483" s="324"/>
      <c r="V483" s="324"/>
      <c r="W483" s="324"/>
      <c r="X483" s="451"/>
      <c r="Y483" s="451"/>
      <c r="Z483" s="451"/>
      <c r="AA483" s="451"/>
      <c r="AB483" s="324"/>
      <c r="AP483" s="324"/>
      <c r="AQ483" s="324"/>
      <c r="AR483" s="451"/>
      <c r="AS483" s="324"/>
    </row>
    <row r="484" customFormat="false" ht="12.75" hidden="false" customHeight="false" outlineLevel="0" collapsed="false">
      <c r="G484" s="324"/>
      <c r="H484" s="324"/>
      <c r="I484" s="324"/>
      <c r="J484" s="324"/>
      <c r="K484" s="324"/>
      <c r="L484" s="324"/>
      <c r="M484" s="451"/>
      <c r="N484" s="451"/>
      <c r="O484" s="451"/>
      <c r="P484" s="324"/>
      <c r="Q484" s="324"/>
      <c r="R484" s="324"/>
      <c r="S484" s="324"/>
      <c r="T484" s="324"/>
      <c r="U484" s="324"/>
      <c r="V484" s="324"/>
      <c r="W484" s="324"/>
      <c r="X484" s="451"/>
      <c r="Y484" s="451"/>
      <c r="Z484" s="451"/>
      <c r="AA484" s="451"/>
      <c r="AB484" s="324"/>
      <c r="AP484" s="324"/>
      <c r="AQ484" s="324"/>
      <c r="AR484" s="451"/>
      <c r="AS484" s="324"/>
    </row>
    <row r="485" customFormat="false" ht="12.75" hidden="false" customHeight="false" outlineLevel="0" collapsed="false">
      <c r="G485" s="324"/>
      <c r="H485" s="324"/>
      <c r="I485" s="324"/>
      <c r="J485" s="324"/>
      <c r="K485" s="324"/>
      <c r="L485" s="324"/>
      <c r="M485" s="451"/>
      <c r="N485" s="451"/>
      <c r="O485" s="451"/>
      <c r="P485" s="324"/>
      <c r="Q485" s="324"/>
      <c r="R485" s="324"/>
      <c r="S485" s="324"/>
      <c r="T485" s="324"/>
      <c r="U485" s="324"/>
      <c r="V485" s="324"/>
      <c r="W485" s="324"/>
      <c r="X485" s="451"/>
      <c r="Y485" s="451"/>
      <c r="Z485" s="451"/>
      <c r="AA485" s="451"/>
      <c r="AB485" s="324"/>
      <c r="AP485" s="324"/>
      <c r="AQ485" s="324"/>
      <c r="AR485" s="451"/>
      <c r="AS485" s="324"/>
    </row>
    <row r="486" customFormat="false" ht="12.75" hidden="false" customHeight="false" outlineLevel="0" collapsed="false">
      <c r="G486" s="324"/>
      <c r="H486" s="324"/>
      <c r="I486" s="324"/>
      <c r="J486" s="324"/>
      <c r="K486" s="324"/>
      <c r="L486" s="324"/>
      <c r="M486" s="451"/>
      <c r="N486" s="451"/>
      <c r="O486" s="451"/>
      <c r="P486" s="324"/>
      <c r="Q486" s="324"/>
      <c r="R486" s="324"/>
      <c r="S486" s="324"/>
      <c r="T486" s="324"/>
      <c r="U486" s="324"/>
      <c r="V486" s="324"/>
      <c r="W486" s="324"/>
      <c r="X486" s="451"/>
      <c r="Y486" s="451"/>
      <c r="Z486" s="451"/>
      <c r="AA486" s="451"/>
      <c r="AB486" s="324"/>
      <c r="AP486" s="324"/>
      <c r="AQ486" s="324"/>
      <c r="AR486" s="451"/>
      <c r="AS486" s="324"/>
    </row>
    <row r="487" customFormat="false" ht="12.75" hidden="false" customHeight="false" outlineLevel="0" collapsed="false">
      <c r="G487" s="324"/>
      <c r="H487" s="324"/>
      <c r="I487" s="324"/>
      <c r="J487" s="324"/>
      <c r="K487" s="324"/>
      <c r="L487" s="324"/>
      <c r="M487" s="451"/>
      <c r="N487" s="451"/>
      <c r="O487" s="451"/>
      <c r="P487" s="324"/>
      <c r="Q487" s="324"/>
      <c r="R487" s="324"/>
      <c r="S487" s="324"/>
      <c r="T487" s="324"/>
      <c r="U487" s="324"/>
      <c r="V487" s="324"/>
      <c r="W487" s="324"/>
      <c r="X487" s="451"/>
      <c r="Y487" s="451"/>
      <c r="Z487" s="451"/>
      <c r="AA487" s="451"/>
      <c r="AB487" s="324"/>
      <c r="AP487" s="324"/>
      <c r="AQ487" s="324"/>
      <c r="AR487" s="451"/>
      <c r="AS487" s="324"/>
    </row>
    <row r="488" customFormat="false" ht="12.75" hidden="false" customHeight="false" outlineLevel="0" collapsed="false">
      <c r="G488" s="324"/>
      <c r="H488" s="324"/>
      <c r="I488" s="324"/>
      <c r="J488" s="324"/>
      <c r="K488" s="324"/>
      <c r="L488" s="324"/>
      <c r="M488" s="451"/>
      <c r="N488" s="451"/>
      <c r="O488" s="451"/>
      <c r="P488" s="324"/>
      <c r="Q488" s="324"/>
      <c r="R488" s="324"/>
      <c r="S488" s="324"/>
      <c r="T488" s="324"/>
      <c r="U488" s="324"/>
      <c r="V488" s="324"/>
      <c r="W488" s="324"/>
      <c r="X488" s="451"/>
      <c r="Y488" s="451"/>
      <c r="Z488" s="451"/>
      <c r="AA488" s="451"/>
      <c r="AB488" s="324"/>
      <c r="AP488" s="324"/>
      <c r="AQ488" s="324"/>
      <c r="AR488" s="451"/>
      <c r="AS488" s="324"/>
    </row>
    <row r="489" customFormat="false" ht="12.75" hidden="false" customHeight="false" outlineLevel="0" collapsed="false">
      <c r="G489" s="324"/>
      <c r="H489" s="324"/>
      <c r="I489" s="324"/>
      <c r="J489" s="324"/>
      <c r="K489" s="324"/>
      <c r="L489" s="324"/>
      <c r="M489" s="451"/>
      <c r="N489" s="451"/>
      <c r="O489" s="451"/>
      <c r="P489" s="324"/>
      <c r="Q489" s="324"/>
      <c r="R489" s="324"/>
      <c r="S489" s="324"/>
      <c r="T489" s="324"/>
      <c r="U489" s="324"/>
      <c r="V489" s="324"/>
      <c r="W489" s="324"/>
      <c r="X489" s="451"/>
      <c r="Y489" s="451"/>
      <c r="Z489" s="451"/>
      <c r="AA489" s="451"/>
      <c r="AB489" s="324"/>
      <c r="AP489" s="324"/>
      <c r="AQ489" s="324"/>
      <c r="AR489" s="451"/>
      <c r="AS489" s="324"/>
    </row>
    <row r="490" customFormat="false" ht="12.75" hidden="false" customHeight="false" outlineLevel="0" collapsed="false">
      <c r="G490" s="324"/>
      <c r="H490" s="324"/>
      <c r="I490" s="324"/>
      <c r="J490" s="324"/>
      <c r="K490" s="324"/>
      <c r="L490" s="324"/>
      <c r="M490" s="451"/>
      <c r="N490" s="451"/>
      <c r="O490" s="451"/>
      <c r="P490" s="324"/>
      <c r="Q490" s="324"/>
      <c r="R490" s="324"/>
      <c r="S490" s="324"/>
      <c r="T490" s="324"/>
      <c r="U490" s="324"/>
      <c r="V490" s="324"/>
      <c r="W490" s="324"/>
      <c r="X490" s="451"/>
      <c r="Y490" s="451"/>
      <c r="Z490" s="451"/>
      <c r="AA490" s="451"/>
      <c r="AB490" s="324"/>
      <c r="AP490" s="324"/>
      <c r="AQ490" s="324"/>
      <c r="AR490" s="451"/>
      <c r="AS490" s="324"/>
    </row>
    <row r="491" customFormat="false" ht="12.75" hidden="false" customHeight="false" outlineLevel="0" collapsed="false">
      <c r="G491" s="324"/>
      <c r="H491" s="324"/>
      <c r="I491" s="324"/>
      <c r="J491" s="324"/>
      <c r="K491" s="324"/>
      <c r="L491" s="324"/>
      <c r="M491" s="451"/>
      <c r="N491" s="451"/>
      <c r="O491" s="451"/>
      <c r="P491" s="324"/>
      <c r="Q491" s="324"/>
      <c r="R491" s="324"/>
      <c r="S491" s="324"/>
      <c r="T491" s="324"/>
      <c r="U491" s="324"/>
      <c r="V491" s="324"/>
      <c r="W491" s="324"/>
      <c r="X491" s="451"/>
      <c r="Y491" s="451"/>
      <c r="Z491" s="451"/>
      <c r="AA491" s="451"/>
      <c r="AB491" s="324"/>
      <c r="AP491" s="324"/>
      <c r="AQ491" s="324"/>
      <c r="AR491" s="451"/>
      <c r="AS491" s="324"/>
    </row>
    <row r="492" customFormat="false" ht="12.75" hidden="false" customHeight="false" outlineLevel="0" collapsed="false">
      <c r="G492" s="324"/>
      <c r="H492" s="324"/>
      <c r="I492" s="324"/>
      <c r="J492" s="324"/>
      <c r="K492" s="324"/>
      <c r="L492" s="324"/>
      <c r="M492" s="451"/>
      <c r="N492" s="451"/>
      <c r="O492" s="451"/>
      <c r="P492" s="324"/>
      <c r="Q492" s="324"/>
      <c r="R492" s="324"/>
      <c r="S492" s="324"/>
      <c r="T492" s="324"/>
      <c r="U492" s="324"/>
      <c r="V492" s="324"/>
      <c r="W492" s="324"/>
      <c r="X492" s="451"/>
      <c r="Y492" s="451"/>
      <c r="Z492" s="451"/>
      <c r="AA492" s="451"/>
      <c r="AB492" s="324"/>
      <c r="AP492" s="324"/>
      <c r="AQ492" s="324"/>
      <c r="AR492" s="451"/>
      <c r="AS492" s="324"/>
    </row>
    <row r="493" customFormat="false" ht="12.75" hidden="false" customHeight="false" outlineLevel="0" collapsed="false">
      <c r="G493" s="324"/>
      <c r="H493" s="324"/>
      <c r="I493" s="324"/>
      <c r="J493" s="324"/>
      <c r="K493" s="324"/>
      <c r="L493" s="324"/>
      <c r="M493" s="451"/>
      <c r="N493" s="451"/>
      <c r="O493" s="451"/>
      <c r="P493" s="324"/>
      <c r="Q493" s="324"/>
      <c r="R493" s="324"/>
      <c r="S493" s="324"/>
      <c r="T493" s="324"/>
      <c r="U493" s="324"/>
      <c r="V493" s="324"/>
      <c r="W493" s="324"/>
      <c r="X493" s="451"/>
      <c r="Y493" s="451"/>
      <c r="Z493" s="451"/>
      <c r="AA493" s="451"/>
      <c r="AB493" s="324"/>
      <c r="AP493" s="324"/>
      <c r="AQ493" s="324"/>
      <c r="AR493" s="451"/>
      <c r="AS493" s="324"/>
    </row>
    <row r="494" customFormat="false" ht="12.75" hidden="false" customHeight="false" outlineLevel="0" collapsed="false">
      <c r="G494" s="324"/>
      <c r="H494" s="324"/>
      <c r="I494" s="324"/>
      <c r="J494" s="324"/>
      <c r="K494" s="324"/>
      <c r="L494" s="324"/>
      <c r="M494" s="451"/>
      <c r="N494" s="451"/>
      <c r="O494" s="451"/>
      <c r="P494" s="324"/>
      <c r="Q494" s="324"/>
      <c r="R494" s="324"/>
      <c r="S494" s="324"/>
      <c r="T494" s="324"/>
      <c r="U494" s="324"/>
      <c r="V494" s="324"/>
      <c r="W494" s="324"/>
      <c r="X494" s="451"/>
      <c r="Y494" s="451"/>
      <c r="Z494" s="451"/>
      <c r="AA494" s="451"/>
      <c r="AB494" s="324"/>
      <c r="AP494" s="324"/>
      <c r="AQ494" s="324"/>
      <c r="AR494" s="451"/>
      <c r="AS494" s="324"/>
    </row>
    <row r="495" customFormat="false" ht="12.75" hidden="false" customHeight="false" outlineLevel="0" collapsed="false">
      <c r="G495" s="324"/>
      <c r="H495" s="324"/>
      <c r="I495" s="324"/>
      <c r="J495" s="324"/>
      <c r="K495" s="324"/>
      <c r="L495" s="324"/>
      <c r="M495" s="451"/>
      <c r="N495" s="451"/>
      <c r="O495" s="451"/>
      <c r="P495" s="324"/>
      <c r="Q495" s="324"/>
      <c r="R495" s="324"/>
      <c r="S495" s="324"/>
      <c r="T495" s="324"/>
      <c r="U495" s="324"/>
      <c r="V495" s="324"/>
      <c r="W495" s="324"/>
      <c r="X495" s="451"/>
      <c r="Y495" s="451"/>
      <c r="Z495" s="451"/>
      <c r="AA495" s="451"/>
      <c r="AB495" s="324"/>
      <c r="AP495" s="324"/>
      <c r="AQ495" s="324"/>
      <c r="AR495" s="451"/>
      <c r="AS495" s="324"/>
    </row>
    <row r="496" customFormat="false" ht="12.75" hidden="false" customHeight="false" outlineLevel="0" collapsed="false">
      <c r="G496" s="324"/>
      <c r="H496" s="324"/>
      <c r="I496" s="324"/>
      <c r="J496" s="324"/>
      <c r="K496" s="324"/>
      <c r="L496" s="324"/>
      <c r="M496" s="451"/>
      <c r="N496" s="451"/>
      <c r="O496" s="451"/>
      <c r="P496" s="324"/>
      <c r="Q496" s="324"/>
      <c r="R496" s="324"/>
      <c r="S496" s="324"/>
      <c r="T496" s="324"/>
      <c r="U496" s="324"/>
      <c r="V496" s="324"/>
      <c r="W496" s="324"/>
      <c r="X496" s="451"/>
      <c r="Y496" s="451"/>
      <c r="Z496" s="451"/>
      <c r="AA496" s="451"/>
      <c r="AB496" s="324"/>
      <c r="AP496" s="324"/>
      <c r="AQ496" s="324"/>
      <c r="AR496" s="451"/>
      <c r="AS496" s="324"/>
    </row>
    <row r="497" customFormat="false" ht="12.75" hidden="false" customHeight="false" outlineLevel="0" collapsed="false">
      <c r="G497" s="324"/>
      <c r="H497" s="324"/>
      <c r="I497" s="324"/>
      <c r="J497" s="324"/>
      <c r="K497" s="324"/>
      <c r="L497" s="324"/>
      <c r="M497" s="451"/>
      <c r="N497" s="451"/>
      <c r="O497" s="451"/>
      <c r="P497" s="324"/>
      <c r="Q497" s="324"/>
      <c r="R497" s="324"/>
      <c r="S497" s="324"/>
      <c r="T497" s="324"/>
      <c r="U497" s="324"/>
      <c r="V497" s="324"/>
      <c r="W497" s="324"/>
      <c r="X497" s="451"/>
      <c r="Y497" s="451"/>
      <c r="Z497" s="451"/>
      <c r="AA497" s="451"/>
      <c r="AB497" s="324"/>
      <c r="AP497" s="324"/>
      <c r="AQ497" s="324"/>
      <c r="AR497" s="451"/>
      <c r="AS497" s="324"/>
    </row>
    <row r="498" customFormat="false" ht="12.75" hidden="false" customHeight="false" outlineLevel="0" collapsed="false">
      <c r="G498" s="324"/>
      <c r="H498" s="324"/>
      <c r="I498" s="324"/>
      <c r="J498" s="324"/>
      <c r="K498" s="324"/>
      <c r="L498" s="324"/>
      <c r="M498" s="451"/>
      <c r="N498" s="451"/>
      <c r="O498" s="451"/>
      <c r="P498" s="324"/>
      <c r="Q498" s="324"/>
      <c r="R498" s="324"/>
      <c r="S498" s="324"/>
      <c r="T498" s="324"/>
      <c r="U498" s="324"/>
      <c r="V498" s="324"/>
      <c r="W498" s="324"/>
      <c r="X498" s="451"/>
      <c r="Y498" s="451"/>
      <c r="Z498" s="451"/>
      <c r="AA498" s="451"/>
      <c r="AB498" s="324"/>
      <c r="AP498" s="324"/>
      <c r="AQ498" s="324"/>
      <c r="AR498" s="451"/>
      <c r="AS498" s="324"/>
    </row>
    <row r="499" customFormat="false" ht="12.75" hidden="false" customHeight="false" outlineLevel="0" collapsed="false">
      <c r="G499" s="324"/>
      <c r="H499" s="324"/>
      <c r="I499" s="324"/>
      <c r="J499" s="324"/>
      <c r="K499" s="324"/>
      <c r="L499" s="324"/>
      <c r="M499" s="451"/>
      <c r="N499" s="451"/>
      <c r="O499" s="451"/>
      <c r="P499" s="324"/>
      <c r="Q499" s="324"/>
      <c r="R499" s="324"/>
      <c r="S499" s="324"/>
      <c r="T499" s="324"/>
      <c r="U499" s="324"/>
      <c r="V499" s="324"/>
      <c r="W499" s="324"/>
      <c r="X499" s="451"/>
      <c r="Y499" s="451"/>
      <c r="Z499" s="451"/>
      <c r="AA499" s="451"/>
      <c r="AB499" s="324"/>
      <c r="AP499" s="324"/>
      <c r="AQ499" s="324"/>
      <c r="AR499" s="451"/>
      <c r="AS499" s="324"/>
    </row>
    <row r="500" customFormat="false" ht="12.75" hidden="false" customHeight="false" outlineLevel="0" collapsed="false">
      <c r="G500" s="324"/>
      <c r="H500" s="324"/>
      <c r="I500" s="324"/>
      <c r="J500" s="324"/>
      <c r="K500" s="324"/>
      <c r="L500" s="324"/>
      <c r="M500" s="451"/>
      <c r="N500" s="451"/>
      <c r="O500" s="451"/>
      <c r="P500" s="324"/>
      <c r="Q500" s="324"/>
      <c r="R500" s="324"/>
      <c r="S500" s="324"/>
      <c r="T500" s="324"/>
      <c r="U500" s="324"/>
      <c r="V500" s="324"/>
      <c r="W500" s="324"/>
      <c r="X500" s="451"/>
      <c r="Y500" s="451"/>
      <c r="Z500" s="451"/>
      <c r="AA500" s="451"/>
      <c r="AB500" s="324"/>
      <c r="AP500" s="324"/>
      <c r="AQ500" s="324"/>
      <c r="AR500" s="451"/>
      <c r="AS500" s="324"/>
    </row>
    <row r="501" customFormat="false" ht="12.75" hidden="false" customHeight="false" outlineLevel="0" collapsed="false">
      <c r="G501" s="324"/>
      <c r="H501" s="324"/>
      <c r="I501" s="324"/>
      <c r="J501" s="324"/>
      <c r="K501" s="324"/>
      <c r="L501" s="324"/>
      <c r="M501" s="451"/>
      <c r="N501" s="451"/>
      <c r="O501" s="451"/>
      <c r="P501" s="324"/>
      <c r="Q501" s="324"/>
      <c r="R501" s="324"/>
      <c r="S501" s="324"/>
      <c r="T501" s="324"/>
      <c r="U501" s="324"/>
      <c r="V501" s="324"/>
      <c r="W501" s="324"/>
      <c r="X501" s="451"/>
      <c r="Y501" s="451"/>
      <c r="Z501" s="451"/>
      <c r="AA501" s="451"/>
      <c r="AB501" s="324"/>
      <c r="AP501" s="324"/>
      <c r="AQ501" s="324"/>
      <c r="AR501" s="451"/>
      <c r="AS501" s="324"/>
    </row>
    <row r="502" customFormat="false" ht="12.75" hidden="false" customHeight="false" outlineLevel="0" collapsed="false">
      <c r="G502" s="324"/>
      <c r="H502" s="324"/>
      <c r="I502" s="324"/>
      <c r="J502" s="324"/>
      <c r="K502" s="324"/>
      <c r="L502" s="324"/>
      <c r="M502" s="451"/>
      <c r="N502" s="451"/>
      <c r="O502" s="451"/>
      <c r="P502" s="324"/>
      <c r="Q502" s="324"/>
      <c r="R502" s="324"/>
      <c r="S502" s="324"/>
      <c r="T502" s="324"/>
      <c r="U502" s="324"/>
      <c r="V502" s="324"/>
      <c r="W502" s="324"/>
      <c r="X502" s="451"/>
      <c r="Y502" s="451"/>
      <c r="Z502" s="451"/>
      <c r="AA502" s="451"/>
      <c r="AB502" s="324"/>
      <c r="AP502" s="324"/>
      <c r="AQ502" s="324"/>
      <c r="AR502" s="451"/>
      <c r="AS502" s="324"/>
    </row>
    <row r="503" customFormat="false" ht="12.75" hidden="false" customHeight="false" outlineLevel="0" collapsed="false">
      <c r="G503" s="324"/>
      <c r="H503" s="324"/>
      <c r="I503" s="324"/>
      <c r="J503" s="324"/>
      <c r="K503" s="324"/>
      <c r="L503" s="324"/>
      <c r="M503" s="451"/>
      <c r="N503" s="451"/>
      <c r="O503" s="451"/>
      <c r="P503" s="324"/>
      <c r="Q503" s="324"/>
      <c r="R503" s="324"/>
      <c r="S503" s="324"/>
      <c r="T503" s="324"/>
      <c r="U503" s="324"/>
      <c r="V503" s="324"/>
      <c r="W503" s="324"/>
      <c r="X503" s="451"/>
      <c r="Y503" s="451"/>
      <c r="Z503" s="451"/>
      <c r="AA503" s="451"/>
      <c r="AB503" s="324"/>
      <c r="AP503" s="324"/>
      <c r="AQ503" s="324"/>
      <c r="AR503" s="451"/>
      <c r="AS503" s="324"/>
    </row>
    <row r="504" customFormat="false" ht="12.75" hidden="false" customHeight="false" outlineLevel="0" collapsed="false">
      <c r="G504" s="324"/>
      <c r="H504" s="324"/>
      <c r="I504" s="324"/>
      <c r="J504" s="324"/>
      <c r="K504" s="324"/>
      <c r="L504" s="324"/>
      <c r="M504" s="451"/>
      <c r="N504" s="451"/>
      <c r="O504" s="451"/>
      <c r="P504" s="324"/>
      <c r="Q504" s="324"/>
      <c r="R504" s="324"/>
      <c r="S504" s="324"/>
      <c r="T504" s="324"/>
      <c r="U504" s="324"/>
      <c r="V504" s="324"/>
      <c r="W504" s="324"/>
      <c r="X504" s="451"/>
      <c r="Y504" s="451"/>
      <c r="Z504" s="451"/>
      <c r="AA504" s="451"/>
      <c r="AB504" s="324"/>
      <c r="AP504" s="324"/>
      <c r="AQ504" s="324"/>
      <c r="AR504" s="451"/>
      <c r="AS504" s="324"/>
    </row>
  </sheetData>
  <mergeCells count="3">
    <mergeCell ref="G4:J4"/>
    <mergeCell ref="R4:U4"/>
    <mergeCell ref="AR4:AT4"/>
  </mergeCells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1" scale="5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&amp;T&amp;R&amp;P</oddFooter>
  </headerFooter>
  <rowBreaks count="4" manualBreakCount="4">
    <brk id="70" man="true" max="16383" min="0"/>
    <brk id="98" man="true" max="16383" min="0"/>
    <brk id="134" man="true" max="16383" min="0"/>
    <brk id="172" man="true" max="16383" min="0"/>
  </rowBreaks>
  <colBreaks count="3" manualBreakCount="3">
    <brk id="17" man="true" max="65535" min="0"/>
    <brk id="28" man="true" max="65535" min="0"/>
    <brk id="41" man="true" max="65535" min="0"/>
  </colBreaks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13"/>
    <col collapsed="false" customWidth="true" hidden="false" outlineLevel="0" max="2" min="2" style="0" width="4.56"/>
    <col collapsed="false" customWidth="true" hidden="false" outlineLevel="0" max="4" min="4" style="0" width="8.41"/>
    <col collapsed="false" customWidth="true" hidden="false" outlineLevel="0" max="5" min="5" style="0" width="13.85"/>
  </cols>
  <sheetData>
    <row r="1" customFormat="false" ht="12.75" hidden="false" customHeight="false" outlineLevel="0" collapsed="false">
      <c r="A1" s="378" t="s">
        <v>846</v>
      </c>
      <c r="B1" s="377"/>
      <c r="C1" s="377"/>
      <c r="D1" s="377"/>
      <c r="E1" s="377"/>
      <c r="F1" s="377"/>
      <c r="G1" s="377"/>
      <c r="H1" s="377"/>
      <c r="I1" s="377"/>
      <c r="J1" s="377"/>
    </row>
    <row r="2" customFormat="false" ht="12.75" hidden="false" customHeight="false" outlineLevel="0" collapsed="false">
      <c r="A2" s="377"/>
      <c r="B2" s="377"/>
      <c r="C2" s="377"/>
      <c r="D2" s="377"/>
      <c r="E2" s="377"/>
      <c r="F2" s="377"/>
      <c r="G2" s="377"/>
      <c r="H2" s="377"/>
      <c r="I2" s="377"/>
      <c r="J2" s="377"/>
    </row>
    <row r="3" customFormat="false" ht="12.75" hidden="false" customHeight="false" outlineLevel="0" collapsed="false">
      <c r="A3" s="491" t="s">
        <v>847</v>
      </c>
      <c r="B3" s="491"/>
      <c r="C3" s="491" t="s">
        <v>848</v>
      </c>
      <c r="D3" s="491"/>
      <c r="E3" s="491" t="s">
        <v>849</v>
      </c>
      <c r="F3" s="491"/>
      <c r="G3" s="779"/>
      <c r="H3" s="491"/>
      <c r="I3" s="491"/>
      <c r="J3" s="491"/>
    </row>
    <row r="4" customFormat="false" ht="12.75" hidden="false" customHeight="false" outlineLevel="0" collapsed="false">
      <c r="A4" s="377" t="s">
        <v>14</v>
      </c>
      <c r="B4" s="377"/>
      <c r="C4" s="780" t="n">
        <v>9.920179</v>
      </c>
      <c r="D4" s="377"/>
      <c r="E4" s="781" t="n">
        <v>243.0443855</v>
      </c>
      <c r="F4" s="377"/>
      <c r="G4" s="779"/>
      <c r="H4" s="377"/>
      <c r="I4" s="377"/>
      <c r="J4" s="377"/>
    </row>
    <row r="5" customFormat="false" ht="12.75" hidden="false" customHeight="false" outlineLevel="0" collapsed="false">
      <c r="A5" s="377" t="s">
        <v>17</v>
      </c>
      <c r="B5" s="377"/>
      <c r="C5" s="780" t="n">
        <v>7.406421</v>
      </c>
      <c r="D5" s="377"/>
      <c r="E5" s="781" t="n">
        <v>181.4573145</v>
      </c>
      <c r="F5" s="377"/>
      <c r="G5" s="779"/>
      <c r="H5" s="377"/>
      <c r="I5" s="377"/>
      <c r="J5" s="377"/>
    </row>
    <row r="6" customFormat="false" ht="12.75" hidden="false" customHeight="false" outlineLevel="0" collapsed="false">
      <c r="A6" s="377" t="s">
        <v>20</v>
      </c>
      <c r="B6" s="377"/>
      <c r="C6" s="780" t="n">
        <v>6.325205</v>
      </c>
      <c r="D6" s="377"/>
      <c r="E6" s="781" t="n">
        <v>154.9675225</v>
      </c>
      <c r="F6" s="377"/>
      <c r="G6" s="779"/>
      <c r="H6" s="377"/>
      <c r="I6" s="377"/>
      <c r="J6" s="377"/>
    </row>
    <row r="7" customFormat="false" ht="12.75" hidden="false" customHeight="false" outlineLevel="0" collapsed="false">
      <c r="A7" s="377" t="s">
        <v>23</v>
      </c>
      <c r="B7" s="377"/>
      <c r="C7" s="780" t="n">
        <v>5.062975</v>
      </c>
      <c r="D7" s="377"/>
      <c r="E7" s="781" t="n">
        <v>124.0428875</v>
      </c>
      <c r="F7" s="377"/>
      <c r="G7" s="779"/>
      <c r="H7" s="377"/>
      <c r="I7" s="377"/>
      <c r="J7" s="377"/>
    </row>
    <row r="8" customFormat="false" ht="12.75" hidden="false" customHeight="false" outlineLevel="0" collapsed="false">
      <c r="A8" s="377" t="s">
        <v>26</v>
      </c>
      <c r="B8" s="377"/>
      <c r="C8" s="780" t="n">
        <v>4.396061</v>
      </c>
      <c r="D8" s="377"/>
      <c r="E8" s="781" t="n">
        <v>107.7034945</v>
      </c>
      <c r="F8" s="377"/>
      <c r="G8" s="779"/>
      <c r="H8" s="377"/>
      <c r="I8" s="377"/>
      <c r="J8" s="377"/>
    </row>
    <row r="9" customFormat="false" ht="12.75" hidden="false" customHeight="false" outlineLevel="0" collapsed="false">
      <c r="A9" s="377" t="s">
        <v>29</v>
      </c>
      <c r="B9" s="377"/>
      <c r="C9" s="780" t="n">
        <v>3.4996</v>
      </c>
      <c r="D9" s="377"/>
      <c r="E9" s="781" t="n">
        <v>85.7402</v>
      </c>
      <c r="F9" s="377"/>
      <c r="G9" s="779"/>
      <c r="H9" s="377"/>
      <c r="I9" s="377"/>
      <c r="J9" s="377"/>
    </row>
    <row r="10" customFormat="false" ht="12.75" hidden="false" customHeight="false" outlineLevel="0" collapsed="false">
      <c r="A10" s="377" t="s">
        <v>32</v>
      </c>
      <c r="B10" s="377"/>
      <c r="C10" s="780" t="n">
        <v>3.475</v>
      </c>
      <c r="D10" s="377"/>
      <c r="E10" s="781" t="n">
        <v>85.1375</v>
      </c>
      <c r="F10" s="377"/>
      <c r="G10" s="779"/>
      <c r="H10" s="377"/>
      <c r="I10" s="377"/>
      <c r="J10" s="377"/>
    </row>
    <row r="11" customFormat="false" ht="12.75" hidden="false" customHeight="false" outlineLevel="0" collapsed="false">
      <c r="A11" s="377" t="s">
        <v>35</v>
      </c>
      <c r="B11" s="377"/>
      <c r="C11" s="780" t="n">
        <v>3.399078</v>
      </c>
      <c r="D11" s="377"/>
      <c r="E11" s="781" t="n">
        <v>83.277411</v>
      </c>
      <c r="F11" s="377"/>
      <c r="G11" s="779"/>
      <c r="H11" s="377"/>
      <c r="I11" s="377"/>
      <c r="J11" s="377"/>
    </row>
    <row r="12" customFormat="false" ht="12.75" hidden="false" customHeight="false" outlineLevel="0" collapsed="false">
      <c r="A12" s="377" t="s">
        <v>38</v>
      </c>
      <c r="B12" s="377"/>
      <c r="C12" s="780" t="n">
        <v>3.347719</v>
      </c>
      <c r="D12" s="377"/>
      <c r="E12" s="781" t="n">
        <v>82.0191155</v>
      </c>
      <c r="F12" s="377"/>
      <c r="G12" s="779"/>
      <c r="H12" s="377"/>
      <c r="I12" s="377"/>
      <c r="J12" s="377"/>
    </row>
    <row r="13" customFormat="false" ht="12.75" hidden="false" customHeight="false" outlineLevel="0" collapsed="false">
      <c r="A13" s="377" t="s">
        <v>40</v>
      </c>
      <c r="B13" s="377"/>
      <c r="C13" s="780" t="n">
        <v>3.171975</v>
      </c>
      <c r="D13" s="377"/>
      <c r="E13" s="781" t="n">
        <v>77.7133875</v>
      </c>
      <c r="F13" s="377"/>
      <c r="G13" s="779"/>
      <c r="H13" s="377"/>
      <c r="I13" s="377"/>
      <c r="J13" s="377"/>
    </row>
    <row r="14" customFormat="false" ht="12.75" hidden="false" customHeight="false" outlineLevel="0" collapsed="false">
      <c r="A14" s="377"/>
      <c r="B14" s="377"/>
      <c r="C14" s="377"/>
      <c r="D14" s="377"/>
      <c r="E14" s="782"/>
      <c r="F14" s="377"/>
      <c r="G14" s="377"/>
      <c r="H14" s="377"/>
      <c r="I14" s="377"/>
      <c r="J14" s="377"/>
    </row>
    <row r="15" customFormat="false" ht="12.75" hidden="false" customHeight="false" outlineLevel="0" collapsed="false">
      <c r="A15" s="377"/>
      <c r="B15" s="377"/>
      <c r="C15" s="377"/>
      <c r="D15" s="377"/>
      <c r="E15" s="782"/>
      <c r="F15" s="377"/>
      <c r="G15" s="377"/>
      <c r="H15" s="377"/>
      <c r="I15" s="377"/>
      <c r="J15" s="377"/>
    </row>
    <row r="16" customFormat="false" ht="12.75" hidden="false" customHeight="false" outlineLevel="0" collapsed="false">
      <c r="A16" s="491" t="s">
        <v>2</v>
      </c>
      <c r="B16" s="491"/>
      <c r="C16" s="491" t="s">
        <v>3</v>
      </c>
      <c r="D16" s="491"/>
      <c r="E16" s="783"/>
      <c r="F16" s="491"/>
      <c r="G16" s="491"/>
      <c r="H16" s="491"/>
      <c r="I16" s="491"/>
      <c r="J16" s="491"/>
    </row>
    <row r="17" customFormat="false" ht="12.75" hidden="false" customHeight="false" outlineLevel="0" collapsed="false">
      <c r="A17" s="377" t="s">
        <v>7</v>
      </c>
      <c r="B17" s="377"/>
      <c r="C17" s="377" t="s">
        <v>8</v>
      </c>
      <c r="D17" s="377"/>
      <c r="E17" s="377"/>
      <c r="F17" s="377"/>
      <c r="G17" s="377"/>
      <c r="H17" s="377"/>
      <c r="I17" s="377"/>
      <c r="J17" s="377"/>
    </row>
    <row r="18" customFormat="false" ht="12.75" hidden="false" customHeight="false" outlineLevel="0" collapsed="false">
      <c r="A18" s="377" t="s">
        <v>12</v>
      </c>
      <c r="B18" s="377"/>
      <c r="C18" s="377" t="s">
        <v>13</v>
      </c>
      <c r="D18" s="377"/>
      <c r="E18" s="377"/>
      <c r="F18" s="377"/>
      <c r="G18" s="377"/>
      <c r="H18" s="377"/>
      <c r="I18" s="377"/>
      <c r="J18" s="377"/>
    </row>
    <row r="19" customFormat="false" ht="12.75" hidden="false" customHeight="false" outlineLevel="0" collapsed="false">
      <c r="A19" s="377" t="s">
        <v>15</v>
      </c>
      <c r="B19" s="377"/>
      <c r="C19" s="377" t="s">
        <v>16</v>
      </c>
      <c r="D19" s="377"/>
      <c r="E19" s="377"/>
      <c r="F19" s="377"/>
      <c r="G19" s="377"/>
      <c r="H19" s="377"/>
      <c r="I19" s="377"/>
      <c r="J19" s="377"/>
    </row>
    <row r="20" customFormat="false" ht="12.75" hidden="false" customHeight="false" outlineLevel="0" collapsed="false">
      <c r="A20" s="377" t="s">
        <v>18</v>
      </c>
      <c r="B20" s="377"/>
      <c r="C20" s="377" t="s">
        <v>19</v>
      </c>
      <c r="D20" s="377"/>
      <c r="E20" s="377"/>
      <c r="F20" s="377"/>
      <c r="G20" s="377"/>
      <c r="H20" s="377"/>
      <c r="I20" s="377"/>
      <c r="J20" s="377"/>
    </row>
    <row r="21" customFormat="false" ht="12.75" hidden="false" customHeight="false" outlineLevel="0" collapsed="false">
      <c r="A21" s="377" t="s">
        <v>21</v>
      </c>
      <c r="B21" s="377"/>
      <c r="C21" s="377" t="s">
        <v>22</v>
      </c>
      <c r="D21" s="377"/>
      <c r="E21" s="377"/>
      <c r="F21" s="377"/>
      <c r="G21" s="377"/>
      <c r="H21" s="377"/>
      <c r="I21" s="377"/>
      <c r="J21" s="377"/>
    </row>
    <row r="22" customFormat="false" ht="12.75" hidden="false" customHeight="false" outlineLevel="0" collapsed="false">
      <c r="A22" s="377" t="s">
        <v>24</v>
      </c>
      <c r="B22" s="377"/>
      <c r="C22" s="377" t="s">
        <v>25</v>
      </c>
      <c r="D22" s="377"/>
      <c r="E22" s="377"/>
      <c r="F22" s="377"/>
      <c r="G22" s="377"/>
      <c r="H22" s="377"/>
      <c r="I22" s="377"/>
      <c r="J22" s="377"/>
    </row>
    <row r="23" customFormat="false" ht="12.75" hidden="false" customHeight="false" outlineLevel="0" collapsed="false">
      <c r="A23" s="377" t="s">
        <v>27</v>
      </c>
      <c r="B23" s="377"/>
      <c r="C23" s="377" t="s">
        <v>28</v>
      </c>
      <c r="D23" s="377"/>
      <c r="E23" s="377"/>
      <c r="F23" s="377"/>
      <c r="G23" s="377"/>
      <c r="H23" s="377"/>
      <c r="I23" s="377"/>
      <c r="J23" s="377"/>
    </row>
    <row r="24" customFormat="false" ht="12.75" hidden="false" customHeight="false" outlineLevel="0" collapsed="false">
      <c r="A24" s="377" t="s">
        <v>30</v>
      </c>
      <c r="B24" s="377"/>
      <c r="C24" s="377" t="s">
        <v>31</v>
      </c>
      <c r="D24" s="377"/>
      <c r="E24" s="377"/>
      <c r="F24" s="377"/>
      <c r="G24" s="377"/>
      <c r="H24" s="377"/>
      <c r="I24" s="377"/>
      <c r="J24" s="377"/>
    </row>
    <row r="25" customFormat="false" ht="12.75" hidden="false" customHeight="false" outlineLevel="0" collapsed="false">
      <c r="A25" s="377" t="s">
        <v>33</v>
      </c>
      <c r="B25" s="377"/>
      <c r="C25" s="377" t="s">
        <v>34</v>
      </c>
      <c r="D25" s="377"/>
      <c r="E25" s="377"/>
      <c r="F25" s="377"/>
      <c r="G25" s="377"/>
      <c r="H25" s="377"/>
      <c r="I25" s="377"/>
      <c r="J25" s="377"/>
    </row>
    <row r="26" customFormat="false" ht="12.75" hidden="false" customHeight="false" outlineLevel="0" collapsed="false">
      <c r="A26" s="377" t="s">
        <v>36</v>
      </c>
      <c r="B26" s="377"/>
      <c r="C26" s="377" t="s">
        <v>37</v>
      </c>
      <c r="D26" s="377"/>
      <c r="E26" s="377"/>
      <c r="F26" s="377"/>
      <c r="G26" s="377"/>
      <c r="H26" s="377"/>
      <c r="I26" s="377"/>
      <c r="J26" s="377"/>
    </row>
    <row r="27" customFormat="false" ht="12.75" hidden="false" customHeight="false" outlineLevel="0" collapsed="false">
      <c r="A27" s="377" t="s">
        <v>39</v>
      </c>
      <c r="B27" s="377"/>
      <c r="C27" s="377" t="s">
        <v>34</v>
      </c>
      <c r="D27" s="377"/>
      <c r="E27" s="377"/>
      <c r="F27" s="377"/>
      <c r="G27" s="377"/>
      <c r="H27" s="377"/>
      <c r="I27" s="377"/>
      <c r="J27" s="377"/>
    </row>
    <row r="28" customFormat="false" ht="12.75" hidden="false" customHeight="false" outlineLevel="0" collapsed="false">
      <c r="A28" s="377" t="s">
        <v>41</v>
      </c>
      <c r="B28" s="377"/>
      <c r="C28" s="377" t="s">
        <v>42</v>
      </c>
      <c r="D28" s="377"/>
      <c r="E28" s="377"/>
      <c r="F28" s="377"/>
      <c r="G28" s="377"/>
      <c r="H28" s="377"/>
      <c r="I28" s="377"/>
      <c r="J28" s="377"/>
    </row>
    <row r="29" customFormat="false" ht="12.75" hidden="false" customHeight="false" outlineLevel="0" collapsed="false">
      <c r="A29" s="377" t="s">
        <v>43</v>
      </c>
      <c r="B29" s="377"/>
      <c r="C29" s="377" t="s">
        <v>44</v>
      </c>
      <c r="D29" s="377"/>
      <c r="E29" s="377"/>
      <c r="F29" s="377"/>
      <c r="G29" s="377"/>
      <c r="H29" s="377"/>
      <c r="I29" s="377"/>
      <c r="J29" s="377"/>
    </row>
    <row r="30" customFormat="false" ht="12.75" hidden="false" customHeight="false" outlineLevel="0" collapsed="false">
      <c r="A30" s="377" t="s">
        <v>45</v>
      </c>
      <c r="B30" s="377"/>
      <c r="C30" s="377" t="s">
        <v>46</v>
      </c>
      <c r="D30" s="377"/>
      <c r="E30" s="377"/>
      <c r="F30" s="377"/>
      <c r="G30" s="377"/>
      <c r="H30" s="377"/>
      <c r="I30" s="377"/>
      <c r="J30" s="377"/>
    </row>
    <row r="31" customFormat="false" ht="12.75" hidden="false" customHeight="false" outlineLevel="0" collapsed="false">
      <c r="A31" s="377" t="s">
        <v>49</v>
      </c>
      <c r="B31" s="377"/>
      <c r="C31" s="377" t="s">
        <v>50</v>
      </c>
      <c r="D31" s="377"/>
      <c r="E31" s="377"/>
      <c r="F31" s="377"/>
      <c r="G31" s="377"/>
      <c r="H31" s="377"/>
      <c r="I31" s="377"/>
      <c r="J31" s="377"/>
    </row>
    <row r="32" customFormat="false" ht="12.75" hidden="false" customHeight="false" outlineLevel="0" collapsed="false">
      <c r="A32" s="377" t="s">
        <v>51</v>
      </c>
      <c r="B32" s="377"/>
      <c r="C32" s="377" t="s">
        <v>52</v>
      </c>
      <c r="D32" s="377"/>
      <c r="E32" s="377"/>
      <c r="F32" s="377"/>
      <c r="G32" s="377"/>
      <c r="H32" s="377"/>
      <c r="I32" s="377"/>
      <c r="J32" s="377"/>
    </row>
    <row r="33" customFormat="false" ht="12.75" hidden="false" customHeight="false" outlineLevel="0" collapsed="false">
      <c r="A33" s="377" t="s">
        <v>56</v>
      </c>
      <c r="B33" s="377"/>
      <c r="C33" s="377" t="s">
        <v>57</v>
      </c>
      <c r="D33" s="377"/>
      <c r="E33" s="377"/>
      <c r="F33" s="377"/>
      <c r="G33" s="377"/>
      <c r="H33" s="377"/>
      <c r="I33" s="377"/>
      <c r="J33" s="377"/>
    </row>
    <row r="34" customFormat="false" ht="12.75" hidden="false" customHeight="false" outlineLevel="0" collapsed="false">
      <c r="A34" s="377"/>
      <c r="B34" s="377"/>
      <c r="C34" s="377"/>
      <c r="D34" s="377"/>
      <c r="E34" s="377"/>
      <c r="F34" s="377"/>
      <c r="G34" s="377"/>
      <c r="H34" s="377"/>
      <c r="I34" s="377"/>
      <c r="J34" s="377"/>
    </row>
    <row r="51" customFormat="false" ht="12.75" hidden="false" customHeight="false" outlineLevel="0" collapsed="false">
      <c r="A51" s="377" t="s">
        <v>850</v>
      </c>
      <c r="B51" s="377"/>
      <c r="C51" s="782" t="n">
        <v>3155000</v>
      </c>
      <c r="D51" s="377"/>
      <c r="E51" s="784" t="n">
        <f aca="false">+C51*'Corp I-S&amp;B-S'!$D$54</f>
        <v>67635312.5</v>
      </c>
    </row>
    <row r="52" customFormat="false" ht="12.75" hidden="false" customHeight="false" outlineLevel="0" collapsed="false">
      <c r="A52" s="377"/>
      <c r="B52" s="377"/>
      <c r="C52" s="377"/>
      <c r="D52" s="377"/>
      <c r="E52" s="377"/>
    </row>
    <row r="53" customFormat="false" ht="12.75" hidden="false" customHeight="false" outlineLevel="0" collapsed="false">
      <c r="A53" s="377" t="s">
        <v>851</v>
      </c>
      <c r="B53" s="377"/>
      <c r="C53" s="782" t="n">
        <v>2616885</v>
      </c>
      <c r="D53" s="377"/>
      <c r="E53" s="784" t="n">
        <f aca="false">+C53*'Corp I-S&amp;B-S'!$D$54</f>
        <v>56099472.1875</v>
      </c>
    </row>
    <row r="54" customFormat="false" ht="12.75" hidden="false" customHeight="false" outlineLevel="0" collapsed="false">
      <c r="A54" s="377"/>
      <c r="B54" s="377"/>
      <c r="C54" s="377"/>
      <c r="D54" s="377"/>
      <c r="E54" s="377"/>
    </row>
    <row r="55" customFormat="false" ht="12.75" hidden="false" customHeight="false" outlineLevel="0" collapsed="false">
      <c r="A55" s="377" t="s">
        <v>852</v>
      </c>
      <c r="B55" s="377"/>
      <c r="C55" s="782" t="n">
        <v>2494100</v>
      </c>
      <c r="D55" s="377"/>
      <c r="E55" s="784" t="n">
        <f aca="false">+C55*'Corp I-S&amp;B-S'!$D$54</f>
        <v>53467268.75</v>
      </c>
    </row>
    <row r="56" customFormat="false" ht="12.75" hidden="false" customHeight="false" outlineLevel="0" collapsed="false">
      <c r="A56" s="377"/>
      <c r="B56" s="377"/>
      <c r="C56" s="377"/>
      <c r="D56" s="377"/>
      <c r="E56" s="377"/>
    </row>
    <row r="57" customFormat="false" ht="12.75" hidden="false" customHeight="false" outlineLevel="0" collapsed="false">
      <c r="A57" s="377" t="s">
        <v>853</v>
      </c>
      <c r="B57" s="377"/>
      <c r="C57" s="782" t="n">
        <v>2400000</v>
      </c>
      <c r="D57" s="377"/>
      <c r="E57" s="784" t="n">
        <f aca="false">+C57*'Corp I-S&amp;B-S'!$D$54</f>
        <v>51450000</v>
      </c>
    </row>
    <row r="58" customFormat="false" ht="12.75" hidden="false" customHeight="false" outlineLevel="0" collapsed="false">
      <c r="A58" s="377"/>
      <c r="B58" s="377"/>
      <c r="C58" s="377"/>
      <c r="D58" s="377"/>
      <c r="E58" s="377"/>
    </row>
    <row r="59" customFormat="false" ht="12.75" hidden="false" customHeight="false" outlineLevel="0" collapsed="false">
      <c r="A59" s="377" t="s">
        <v>854</v>
      </c>
      <c r="B59" s="377"/>
      <c r="C59" s="782" t="n">
        <v>2326600</v>
      </c>
      <c r="D59" s="377"/>
      <c r="E59" s="784" t="n">
        <f aca="false">+C59*'Corp I-S&amp;B-S'!$D$54</f>
        <v>49876487.5</v>
      </c>
    </row>
    <row r="60" customFormat="false" ht="12.75" hidden="false" customHeight="false" outlineLevel="0" collapsed="false">
      <c r="A60" s="377"/>
      <c r="B60" s="377"/>
      <c r="C60" s="377"/>
      <c r="D60" s="377"/>
      <c r="E60" s="377"/>
    </row>
    <row r="61" customFormat="false" ht="12.75" hidden="false" customHeight="false" outlineLevel="0" collapsed="false">
      <c r="A61" s="377" t="s">
        <v>855</v>
      </c>
      <c r="B61" s="377"/>
      <c r="C61" s="782" t="n">
        <v>2073398</v>
      </c>
      <c r="D61" s="377"/>
      <c r="E61" s="784" t="n">
        <f aca="false">+C61*'Corp I-S&amp;B-S'!$D$54</f>
        <v>44448469.625</v>
      </c>
    </row>
    <row r="62" customFormat="false" ht="12.75" hidden="false" customHeight="false" outlineLevel="0" collapsed="false">
      <c r="A62" s="377"/>
      <c r="B62" s="377"/>
      <c r="C62" s="377"/>
      <c r="D62" s="377"/>
      <c r="E62" s="377"/>
    </row>
    <row r="63" customFormat="false" ht="12.75" hidden="false" customHeight="false" outlineLevel="0" collapsed="false">
      <c r="A63" s="377" t="s">
        <v>856</v>
      </c>
      <c r="B63" s="377"/>
      <c r="C63" s="782" t="n">
        <v>2059800</v>
      </c>
      <c r="D63" s="377"/>
      <c r="E63" s="784" t="n">
        <f aca="false">+C63*'Corp I-S&amp;B-S'!$D$54</f>
        <v>44156962.5</v>
      </c>
    </row>
    <row r="64" customFormat="false" ht="12.75" hidden="false" customHeight="false" outlineLevel="0" collapsed="false">
      <c r="A64" s="377"/>
      <c r="B64" s="377"/>
      <c r="C64" s="377"/>
      <c r="D64" s="377"/>
      <c r="E64" s="377"/>
    </row>
    <row r="65" customFormat="false" ht="12.75" hidden="false" customHeight="false" outlineLevel="0" collapsed="false">
      <c r="A65" s="377" t="s">
        <v>857</v>
      </c>
      <c r="B65" s="377"/>
      <c r="C65" s="782" t="n">
        <v>2000000</v>
      </c>
      <c r="D65" s="377"/>
      <c r="E65" s="784" t="n">
        <f aca="false">+C65*'Corp I-S&amp;B-S'!$D$54</f>
        <v>42875000</v>
      </c>
    </row>
    <row r="66" customFormat="false" ht="12.75" hidden="false" customHeight="false" outlineLevel="0" collapsed="false">
      <c r="A66" s="377"/>
      <c r="B66" s="377"/>
      <c r="C66" s="377"/>
      <c r="D66" s="377"/>
      <c r="E66" s="377"/>
    </row>
    <row r="67" customFormat="false" ht="12.75" hidden="false" customHeight="false" outlineLevel="0" collapsed="false">
      <c r="A67" s="377" t="s">
        <v>858</v>
      </c>
      <c r="B67" s="377"/>
      <c r="C67" s="782" t="n">
        <v>2000000</v>
      </c>
      <c r="D67" s="377"/>
      <c r="E67" s="784" t="n">
        <f aca="false">+C67*'Corp I-S&amp;B-S'!$D$54</f>
        <v>42875000</v>
      </c>
    </row>
    <row r="68" customFormat="false" ht="12.75" hidden="false" customHeight="false" outlineLevel="0" collapsed="false">
      <c r="A68" s="377"/>
      <c r="B68" s="377"/>
      <c r="C68" s="377"/>
      <c r="D68" s="377"/>
      <c r="E68" s="377"/>
    </row>
    <row r="69" customFormat="false" ht="12.75" hidden="false" customHeight="false" outlineLevel="0" collapsed="false">
      <c r="A69" s="377" t="s">
        <v>859</v>
      </c>
      <c r="B69" s="377"/>
      <c r="C69" s="782" t="n">
        <v>1305004</v>
      </c>
      <c r="D69" s="377"/>
      <c r="E69" s="784" t="n">
        <f aca="false">+C69*'Corp I-S&amp;B-S'!$D$54</f>
        <v>27976023.25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75" zoomScalePageLayoutView="75" workbookViewId="0">
      <selection pane="topLeft" activeCell="M41" activeCellId="0" sqref="M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56"/>
    <col collapsed="false" customWidth="true" hidden="false" outlineLevel="0" max="2" min="2" style="1" width="19.99"/>
    <col collapsed="false" customWidth="true" hidden="false" outlineLevel="0" max="3" min="3" style="1" width="12.85"/>
    <col collapsed="false" customWidth="false" hidden="false" outlineLevel="0" max="4" min="4" style="1" width="9.14"/>
    <col collapsed="false" customWidth="true" hidden="false" outlineLevel="0" max="5" min="5" style="1" width="4.7"/>
    <col collapsed="false" customWidth="true" hidden="false" outlineLevel="0" max="6" min="6" style="1" width="5.56"/>
    <col collapsed="false" customWidth="true" hidden="false" outlineLevel="0" max="7" min="7" style="1" width="4.14"/>
    <col collapsed="false" customWidth="true" hidden="false" outlineLevel="0" max="8" min="8" style="1" width="7.42"/>
    <col collapsed="false" customWidth="true" hidden="false" outlineLevel="0" max="9" min="9" style="1" width="5.99"/>
    <col collapsed="false" customWidth="true" hidden="false" outlineLevel="0" max="10" min="10" style="1" width="11.85"/>
    <col collapsed="false" customWidth="true" hidden="false" outlineLevel="0" max="11" min="11" style="1" width="7.56"/>
    <col collapsed="false" customWidth="true" hidden="false" outlineLevel="0" max="12" min="12" style="1" width="14.56"/>
    <col collapsed="false" customWidth="true" hidden="false" outlineLevel="0" max="13" min="13" style="1" width="13.7"/>
    <col collapsed="false" customWidth="true" hidden="false" outlineLevel="0" max="14" min="14" style="1" width="9.85"/>
    <col collapsed="false" customWidth="true" hidden="false" outlineLevel="0" max="15" min="15" style="1" width="11.13"/>
    <col collapsed="false" customWidth="false" hidden="false" outlineLevel="0" max="257" min="16" style="1" width="9.14"/>
  </cols>
  <sheetData>
    <row r="1" customFormat="false" ht="18.75" hidden="false" customHeight="false" outlineLevel="0" collapsed="false">
      <c r="A1" s="69" t="s">
        <v>121</v>
      </c>
      <c r="B1" s="70"/>
      <c r="C1" s="70"/>
      <c r="D1" s="70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2.75" hidden="false" customHeight="false" outlineLevel="0" collapsed="false">
      <c r="A2" s="70" t="s">
        <v>122</v>
      </c>
      <c r="B2" s="70"/>
      <c r="C2" s="70"/>
      <c r="D2" s="70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.75" hidden="false" customHeight="false" outlineLevel="0" collapsed="false">
      <c r="A3" s="71"/>
      <c r="B3" s="72"/>
      <c r="C3" s="72"/>
      <c r="D3" s="72"/>
      <c r="E3" s="72"/>
      <c r="F3" s="70"/>
      <c r="G3" s="70"/>
      <c r="H3" s="70"/>
      <c r="I3" s="70"/>
      <c r="J3" s="73"/>
      <c r="K3" s="3"/>
      <c r="L3" s="3"/>
      <c r="M3" s="3"/>
      <c r="N3" s="3"/>
      <c r="O3" s="3"/>
    </row>
    <row r="4" customFormat="false" ht="15.75" hidden="false" customHeight="false" outlineLevel="0" collapsed="false">
      <c r="A4" s="74"/>
      <c r="B4" s="70"/>
      <c r="C4" s="75"/>
      <c r="D4" s="75"/>
      <c r="E4" s="75"/>
      <c r="F4" s="75"/>
      <c r="G4" s="75"/>
      <c r="H4" s="76"/>
      <c r="I4" s="76"/>
      <c r="J4" s="77" t="s">
        <v>123</v>
      </c>
      <c r="K4" s="77"/>
      <c r="L4" s="77"/>
      <c r="M4" s="77" t="s">
        <v>124</v>
      </c>
      <c r="N4" s="77"/>
      <c r="O4" s="77"/>
    </row>
    <row r="5" customFormat="false" ht="20.25" hidden="false" customHeight="true" outlineLevel="0" collapsed="false">
      <c r="A5" s="78" t="s">
        <v>125</v>
      </c>
      <c r="B5" s="79"/>
      <c r="C5" s="79"/>
      <c r="D5" s="80" t="s">
        <v>126</v>
      </c>
      <c r="E5" s="79"/>
      <c r="F5" s="79" t="s">
        <v>127</v>
      </c>
      <c r="G5" s="79"/>
      <c r="H5" s="79"/>
      <c r="I5" s="79" t="s">
        <v>128</v>
      </c>
      <c r="J5" s="79"/>
      <c r="K5" s="79"/>
      <c r="L5" s="79"/>
      <c r="M5" s="79" t="s">
        <v>129</v>
      </c>
      <c r="N5" s="79"/>
      <c r="O5" s="79"/>
    </row>
    <row r="6" customFormat="false" ht="12" hidden="false" customHeight="true" outlineLevel="0" collapsed="false">
      <c r="A6" s="70"/>
      <c r="B6" s="73"/>
      <c r="C6" s="73"/>
      <c r="D6" s="81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customFormat="false" ht="12.75" hidden="false" customHeight="false" outlineLevel="0" collapsed="false">
      <c r="A7" s="3"/>
      <c r="B7" s="4" t="s">
        <v>130</v>
      </c>
      <c r="C7" s="3"/>
      <c r="D7" s="82"/>
      <c r="E7" s="3"/>
      <c r="F7" s="3"/>
      <c r="G7" s="3"/>
      <c r="H7" s="3"/>
      <c r="I7" s="3"/>
      <c r="J7" s="83"/>
      <c r="K7" s="84"/>
      <c r="L7" s="83"/>
      <c r="M7" s="85"/>
      <c r="N7" s="86"/>
      <c r="O7" s="86"/>
    </row>
    <row r="8" customFormat="false" ht="12.75" hidden="false" customHeight="false" outlineLevel="0" collapsed="false">
      <c r="A8" s="3"/>
      <c r="B8" s="87" t="s">
        <v>131</v>
      </c>
      <c r="C8" s="3"/>
      <c r="D8" s="88" t="n">
        <f aca="false">'Net PPE'!D12</f>
        <v>2592.244</v>
      </c>
      <c r="E8" s="3"/>
      <c r="F8" s="89" t="n">
        <v>1</v>
      </c>
      <c r="G8" s="90" t="s">
        <v>132</v>
      </c>
      <c r="H8" s="89" t="n">
        <v>1.2</v>
      </c>
      <c r="I8" s="3"/>
      <c r="J8" s="91" t="n">
        <f aca="false">+D8*F8</f>
        <v>2592.244</v>
      </c>
      <c r="K8" s="3" t="s">
        <v>132</v>
      </c>
      <c r="L8" s="91" t="n">
        <f aca="false">+D8*H8</f>
        <v>3110.6928</v>
      </c>
      <c r="M8" s="85"/>
      <c r="N8" s="86"/>
      <c r="O8" s="86"/>
    </row>
    <row r="9" customFormat="false" ht="15.75" hidden="false" customHeight="false" outlineLevel="0" collapsed="false">
      <c r="A9" s="3"/>
      <c r="B9" s="87" t="s">
        <v>133</v>
      </c>
      <c r="C9" s="3"/>
      <c r="D9" s="92" t="n">
        <v>1047.6</v>
      </c>
      <c r="E9" s="3"/>
      <c r="F9" s="93" t="n">
        <v>1.5</v>
      </c>
      <c r="G9" s="90" t="s">
        <v>132</v>
      </c>
      <c r="H9" s="93" t="n">
        <v>1.75</v>
      </c>
      <c r="I9" s="3"/>
      <c r="J9" s="91" t="n">
        <f aca="false">+D9*F9</f>
        <v>1571.4</v>
      </c>
      <c r="K9" s="3" t="s">
        <v>132</v>
      </c>
      <c r="L9" s="91" t="n">
        <f aca="false">+D9*H9</f>
        <v>1833.3</v>
      </c>
    </row>
    <row r="10" customFormat="false" ht="12.75" hidden="false" customHeight="false" outlineLevel="0" collapsed="false">
      <c r="A10" s="3"/>
      <c r="B10" s="87" t="s">
        <v>134</v>
      </c>
      <c r="C10" s="3"/>
      <c r="D10" s="92" t="n">
        <v>134.9</v>
      </c>
      <c r="E10" s="3"/>
      <c r="F10" s="89" t="n">
        <v>12</v>
      </c>
      <c r="G10" s="94" t="s">
        <v>132</v>
      </c>
      <c r="H10" s="89" t="n">
        <v>14</v>
      </c>
      <c r="I10" s="3"/>
      <c r="J10" s="91" t="n">
        <f aca="false">+D10*F10</f>
        <v>1618.8</v>
      </c>
      <c r="K10" s="3" t="s">
        <v>132</v>
      </c>
      <c r="L10" s="91" t="n">
        <f aca="false">+D10*H10</f>
        <v>1888.6</v>
      </c>
      <c r="M10" s="95"/>
      <c r="N10" s="96"/>
      <c r="O10" s="95"/>
    </row>
    <row r="11" customFormat="false" ht="12.75" hidden="false" customHeight="false" outlineLevel="0" collapsed="false">
      <c r="A11" s="3"/>
      <c r="B11" s="87" t="s">
        <v>135</v>
      </c>
      <c r="C11" s="3"/>
      <c r="D11" s="92" t="n">
        <v>351.2</v>
      </c>
      <c r="E11" s="3"/>
      <c r="F11" s="89" t="n">
        <v>7</v>
      </c>
      <c r="G11" s="94" t="s">
        <v>132</v>
      </c>
      <c r="H11" s="89" t="n">
        <v>8</v>
      </c>
      <c r="I11" s="3"/>
      <c r="J11" s="91" t="n">
        <f aca="false">+D11*F11</f>
        <v>2458.4</v>
      </c>
      <c r="K11" s="3" t="s">
        <v>132</v>
      </c>
      <c r="L11" s="91" t="n">
        <f aca="false">+D11*H11</f>
        <v>2809.6</v>
      </c>
      <c r="M11" s="95" t="n">
        <v>1400</v>
      </c>
      <c r="N11" s="96" t="s">
        <v>132</v>
      </c>
      <c r="O11" s="95" t="n">
        <v>1550</v>
      </c>
    </row>
    <row r="12" customFormat="false" ht="9.75" hidden="false" customHeight="true" outlineLevel="0" collapsed="false">
      <c r="A12" s="70"/>
      <c r="B12" s="73"/>
      <c r="C12" s="73"/>
      <c r="D12" s="81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Q12" s="97"/>
      <c r="R12" s="97"/>
      <c r="S12" s="97"/>
      <c r="T12" s="97"/>
      <c r="U12" s="97"/>
      <c r="V12" s="97"/>
    </row>
    <row r="13" customFormat="false" ht="15.75" hidden="false" customHeight="false" outlineLevel="0" collapsed="false">
      <c r="A13" s="70"/>
      <c r="B13" s="98" t="s">
        <v>136</v>
      </c>
      <c r="C13" s="73"/>
      <c r="D13" s="81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Q13" s="99" t="s">
        <v>112</v>
      </c>
      <c r="R13" s="100"/>
      <c r="S13" s="100"/>
      <c r="T13" s="100"/>
      <c r="U13" s="100"/>
      <c r="V13" s="101"/>
    </row>
    <row r="14" customFormat="false" ht="15.75" hidden="false" customHeight="false" outlineLevel="0" collapsed="false">
      <c r="A14" s="70"/>
      <c r="B14" s="87" t="s">
        <v>131</v>
      </c>
      <c r="C14" s="73"/>
      <c r="D14" s="88" t="n">
        <f aca="false">'Net PPE'!D7</f>
        <v>3252.2</v>
      </c>
      <c r="E14" s="3"/>
      <c r="F14" s="89" t="n">
        <v>1</v>
      </c>
      <c r="G14" s="90" t="s">
        <v>132</v>
      </c>
      <c r="H14" s="89" t="n">
        <v>1.2</v>
      </c>
      <c r="I14" s="3"/>
      <c r="J14" s="91" t="n">
        <f aca="false">+D14*F14</f>
        <v>3252.2</v>
      </c>
      <c r="K14" s="3" t="s">
        <v>132</v>
      </c>
      <c r="L14" s="91" t="n">
        <f aca="false">+D14*H14</f>
        <v>3902.64</v>
      </c>
      <c r="M14" s="85"/>
      <c r="N14" s="86"/>
      <c r="O14" s="86"/>
      <c r="Q14" s="102" t="n">
        <v>3609.597</v>
      </c>
      <c r="R14" s="97" t="s">
        <v>137</v>
      </c>
      <c r="S14" s="97"/>
      <c r="T14" s="97"/>
      <c r="U14" s="97"/>
      <c r="V14" s="103"/>
    </row>
    <row r="15" customFormat="false" ht="14.25" hidden="false" customHeight="true" outlineLevel="0" collapsed="false">
      <c r="A15" s="70"/>
      <c r="B15" s="87" t="s">
        <v>133</v>
      </c>
      <c r="C15" s="73"/>
      <c r="D15" s="92" t="n">
        <v>1687.1</v>
      </c>
      <c r="E15" s="3"/>
      <c r="F15" s="93" t="n">
        <v>1.5</v>
      </c>
      <c r="G15" s="90" t="s">
        <v>132</v>
      </c>
      <c r="H15" s="93" t="n">
        <v>1.75</v>
      </c>
      <c r="I15" s="3"/>
      <c r="J15" s="91" t="n">
        <f aca="false">+D15*F15</f>
        <v>2530.65</v>
      </c>
      <c r="K15" s="3" t="s">
        <v>132</v>
      </c>
      <c r="L15" s="91" t="n">
        <f aca="false">+D15*H15</f>
        <v>2952.425</v>
      </c>
      <c r="Q15" s="104"/>
      <c r="R15" s="97"/>
      <c r="S15" s="97"/>
      <c r="T15" s="97"/>
      <c r="U15" s="97"/>
      <c r="V15" s="103"/>
    </row>
    <row r="16" customFormat="false" ht="15.75" hidden="false" customHeight="false" outlineLevel="0" collapsed="false">
      <c r="A16" s="70"/>
      <c r="B16" s="87" t="s">
        <v>134</v>
      </c>
      <c r="C16" s="73"/>
      <c r="D16" s="92" t="n">
        <v>287.296</v>
      </c>
      <c r="E16" s="3"/>
      <c r="F16" s="89" t="n">
        <v>12</v>
      </c>
      <c r="G16" s="94" t="s">
        <v>132</v>
      </c>
      <c r="H16" s="89" t="n">
        <v>14</v>
      </c>
      <c r="I16" s="3"/>
      <c r="J16" s="91" t="n">
        <f aca="false">+D16*F16</f>
        <v>3447.552</v>
      </c>
      <c r="K16" s="3" t="s">
        <v>132</v>
      </c>
      <c r="L16" s="91" t="n">
        <f aca="false">+D16*H16</f>
        <v>4022.144</v>
      </c>
      <c r="M16" s="95"/>
      <c r="N16" s="96"/>
      <c r="O16" s="95"/>
      <c r="Q16" s="104" t="n">
        <f aca="false">Q17*Q14</f>
        <v>1515.50499392657</v>
      </c>
      <c r="R16" s="97" t="s">
        <v>138</v>
      </c>
      <c r="S16" s="97"/>
      <c r="T16" s="97"/>
      <c r="U16" s="97"/>
      <c r="V16" s="103"/>
    </row>
    <row r="17" customFormat="false" ht="12.75" hidden="false" customHeight="false" outlineLevel="0" collapsed="false">
      <c r="A17" s="3"/>
      <c r="B17" s="87" t="s">
        <v>135</v>
      </c>
      <c r="C17" s="3"/>
      <c r="D17" s="92" t="n">
        <v>811.2</v>
      </c>
      <c r="E17" s="3"/>
      <c r="F17" s="89" t="n">
        <v>7</v>
      </c>
      <c r="G17" s="94" t="s">
        <v>132</v>
      </c>
      <c r="H17" s="89" t="n">
        <v>8</v>
      </c>
      <c r="I17" s="3"/>
      <c r="J17" s="91" t="n">
        <f aca="false">+D17*F17</f>
        <v>5678.4</v>
      </c>
      <c r="K17" s="3" t="s">
        <v>132</v>
      </c>
      <c r="L17" s="91" t="n">
        <f aca="false">+D17*H17</f>
        <v>6489.6</v>
      </c>
      <c r="M17" s="95" t="n">
        <v>4500</v>
      </c>
      <c r="N17" s="96" t="s">
        <v>132</v>
      </c>
      <c r="O17" s="95" t="n">
        <v>5500</v>
      </c>
      <c r="Q17" s="105" t="n">
        <f aca="false">Q19/Q20</f>
        <v>0.419854347708779</v>
      </c>
      <c r="R17" s="97"/>
      <c r="S17" s="97"/>
      <c r="T17" s="97"/>
      <c r="U17" s="97"/>
      <c r="V17" s="103"/>
    </row>
    <row r="18" customFormat="false" ht="15" hidden="false" customHeight="true" outlineLevel="0" collapsed="false">
      <c r="A18" s="3"/>
      <c r="B18" s="7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Q18" s="106"/>
      <c r="R18" s="97"/>
      <c r="S18" s="97"/>
      <c r="T18" s="97"/>
      <c r="U18" s="97"/>
      <c r="V18" s="103"/>
    </row>
    <row r="19" customFormat="false" ht="18" hidden="false" customHeight="true" outlineLevel="0" collapsed="false">
      <c r="A19" s="70"/>
      <c r="B19" s="98" t="s">
        <v>139</v>
      </c>
      <c r="C19" s="7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Q19" s="102" t="n">
        <v>1525</v>
      </c>
      <c r="R19" s="97" t="s">
        <v>140</v>
      </c>
      <c r="S19" s="97"/>
      <c r="T19" s="97"/>
      <c r="U19" s="97"/>
      <c r="V19" s="103"/>
    </row>
    <row r="20" customFormat="false" ht="13.5" hidden="false" customHeight="false" outlineLevel="0" collapsed="false">
      <c r="A20" s="3"/>
      <c r="B20" s="107" t="s">
        <v>141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Q20" s="108" t="n">
        <v>3632.212</v>
      </c>
      <c r="R20" s="109" t="s">
        <v>142</v>
      </c>
      <c r="S20" s="109"/>
      <c r="T20" s="109"/>
      <c r="U20" s="109"/>
      <c r="V20" s="110"/>
    </row>
    <row r="21" customFormat="false" ht="12.75" hidden="false" customHeight="false" outlineLevel="0" collapsed="false">
      <c r="A21" s="3"/>
      <c r="B21" s="87" t="s">
        <v>143</v>
      </c>
      <c r="C21" s="3"/>
      <c r="D21" s="88" t="n">
        <f aca="false">+'Segment Fin Proj'!P112</f>
        <v>101.728764863858</v>
      </c>
      <c r="E21" s="3"/>
      <c r="F21" s="89" t="n">
        <v>7.5</v>
      </c>
      <c r="G21" s="90"/>
      <c r="H21" s="89" t="n">
        <v>9</v>
      </c>
      <c r="I21" s="3"/>
      <c r="J21" s="91" t="n">
        <f aca="false">+D21*F21</f>
        <v>762.965736478937</v>
      </c>
      <c r="K21" s="3" t="s">
        <v>132</v>
      </c>
      <c r="L21" s="91" t="n">
        <f aca="false">+D21*H21</f>
        <v>915.558883774724</v>
      </c>
      <c r="M21" s="85" t="n">
        <v>750</v>
      </c>
      <c r="N21" s="111" t="s">
        <v>132</v>
      </c>
      <c r="O21" s="112" t="n">
        <v>900</v>
      </c>
    </row>
    <row r="22" customFormat="false" ht="15.75" hidden="false" customHeight="false" outlineLevel="0" collapsed="false">
      <c r="A22" s="70"/>
      <c r="B22" s="73"/>
      <c r="C22" s="73"/>
      <c r="D22" s="81"/>
      <c r="E22" s="73"/>
      <c r="F22" s="73"/>
      <c r="G22" s="73"/>
      <c r="H22" s="73"/>
      <c r="I22" s="73"/>
      <c r="J22" s="73"/>
      <c r="K22" s="73"/>
      <c r="L22" s="73"/>
      <c r="M22" s="113"/>
      <c r="N22" s="113"/>
      <c r="O22" s="113"/>
    </row>
    <row r="23" customFormat="false" ht="15.75" hidden="false" customHeight="false" outlineLevel="0" collapsed="false">
      <c r="A23" s="14"/>
      <c r="B23" s="107" t="s">
        <v>144</v>
      </c>
      <c r="C23" s="73"/>
      <c r="D23" s="3"/>
      <c r="E23" s="3"/>
      <c r="F23" s="3"/>
      <c r="G23" s="3"/>
      <c r="H23" s="3"/>
      <c r="I23" s="3"/>
      <c r="J23" s="114"/>
      <c r="K23" s="90"/>
      <c r="L23" s="114"/>
      <c r="M23" s="115"/>
      <c r="N23" s="86"/>
      <c r="O23" s="86"/>
    </row>
    <row r="24" customFormat="false" ht="15.75" hidden="false" customHeight="false" outlineLevel="0" collapsed="false">
      <c r="A24" s="3"/>
      <c r="B24" s="87" t="s">
        <v>145</v>
      </c>
      <c r="C24" s="3"/>
      <c r="D24" s="88" t="n">
        <f aca="false">Q16</f>
        <v>1515.50499392657</v>
      </c>
      <c r="E24" s="3"/>
      <c r="F24" s="89" t="n">
        <v>1.1</v>
      </c>
      <c r="G24" s="90" t="s">
        <v>132</v>
      </c>
      <c r="H24" s="89" t="n">
        <v>1.2</v>
      </c>
      <c r="I24" s="3"/>
      <c r="J24" s="91" t="n">
        <f aca="false">+D24*F24</f>
        <v>1667.05549331922</v>
      </c>
      <c r="K24" s="3" t="s">
        <v>132</v>
      </c>
      <c r="L24" s="91" t="n">
        <f aca="false">+D24*H24</f>
        <v>1818.60599271188</v>
      </c>
      <c r="M24" s="85" t="n">
        <v>1600</v>
      </c>
      <c r="N24" s="111" t="s">
        <v>132</v>
      </c>
      <c r="O24" s="112" t="n">
        <v>1800</v>
      </c>
    </row>
    <row r="25" customFormat="false" ht="15.75" hidden="false" customHeight="false" outlineLevel="0" collapsed="false">
      <c r="A25" s="3"/>
      <c r="B25" s="7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12.75" hidden="false" customHeight="false" outlineLevel="0" collapsed="false">
      <c r="A26" s="3"/>
      <c r="B26" s="107" t="s">
        <v>146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2.75" hidden="false" customHeight="false" outlineLevel="0" collapsed="false">
      <c r="A27" s="3"/>
      <c r="B27" s="116" t="s">
        <v>147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2.75" hidden="false" customHeight="false" outlineLevel="0" collapsed="false">
      <c r="A28" s="3"/>
      <c r="B28" s="87" t="s">
        <v>148</v>
      </c>
      <c r="C28" s="3"/>
      <c r="D28" s="117" t="n">
        <f aca="false">'New Powerdat Asset info'!M21</f>
        <v>9458.41</v>
      </c>
      <c r="E28" s="3"/>
      <c r="F28" s="118" t="n">
        <v>600</v>
      </c>
      <c r="G28" s="90" t="s">
        <v>132</v>
      </c>
      <c r="H28" s="118" t="n">
        <v>800</v>
      </c>
      <c r="I28" s="3"/>
      <c r="J28" s="91" t="n">
        <f aca="false">+D28*F28/1000</f>
        <v>5675.046</v>
      </c>
      <c r="K28" s="3"/>
      <c r="L28" s="91" t="n">
        <f aca="false">+D28*H28/1000</f>
        <v>7566.728</v>
      </c>
      <c r="M28" s="3"/>
      <c r="N28" s="84"/>
      <c r="O28" s="3"/>
    </row>
    <row r="29" customFormat="false" ht="15" hidden="false" customHeight="false" outlineLevel="0" collapsed="false">
      <c r="A29" s="3"/>
      <c r="B29" s="87" t="s">
        <v>149</v>
      </c>
      <c r="C29" s="3"/>
      <c r="D29" s="119" t="n">
        <f aca="false">+'New Powerdat Asset info'!M40</f>
        <v>45</v>
      </c>
      <c r="E29" s="3"/>
      <c r="F29" s="86" t="n">
        <v>150</v>
      </c>
      <c r="G29" s="90" t="s">
        <v>132</v>
      </c>
      <c r="H29" s="86" t="n">
        <v>250</v>
      </c>
      <c r="I29" s="3"/>
      <c r="J29" s="120" t="n">
        <f aca="false">+D29*F29/1000</f>
        <v>6.75</v>
      </c>
      <c r="K29" s="121" t="n">
        <f aca="false">+AVERAGE(J29,L29)</f>
        <v>9</v>
      </c>
      <c r="L29" s="120" t="n">
        <f aca="false">+D29*H29/1000</f>
        <v>11.25</v>
      </c>
      <c r="M29" s="3"/>
      <c r="N29" s="3"/>
      <c r="O29" s="3"/>
    </row>
    <row r="30" customFormat="false" ht="12.75" hidden="false" customHeight="false" outlineLevel="0" collapsed="false">
      <c r="A30" s="3"/>
      <c r="B30" s="87" t="s">
        <v>150</v>
      </c>
      <c r="C30" s="3"/>
      <c r="D30" s="117" t="n">
        <f aca="false">+SUM(D28:D29)</f>
        <v>9503.41</v>
      </c>
      <c r="E30" s="3"/>
      <c r="F30" s="86"/>
      <c r="G30" s="86"/>
      <c r="H30" s="86"/>
      <c r="I30" s="3"/>
      <c r="J30" s="91" t="n">
        <f aca="false">+SUM(J29+J28)</f>
        <v>5681.796</v>
      </c>
      <c r="K30" s="84"/>
      <c r="L30" s="91" t="n">
        <f aca="false">+SUM(L29+L28)</f>
        <v>7577.978</v>
      </c>
      <c r="M30" s="85" t="n">
        <v>5600</v>
      </c>
      <c r="N30" s="111" t="s">
        <v>132</v>
      </c>
      <c r="O30" s="112" t="n">
        <v>7500</v>
      </c>
    </row>
    <row r="31" customFormat="false" ht="12.75" hidden="false" customHeight="false" outlineLevel="0" collapsed="false">
      <c r="A31" s="3"/>
      <c r="B31" s="6"/>
      <c r="C31" s="3"/>
      <c r="D31" s="122"/>
      <c r="E31" s="5"/>
      <c r="F31" s="123"/>
      <c r="G31" s="123"/>
      <c r="H31" s="123"/>
      <c r="I31" s="3"/>
      <c r="J31" s="124"/>
      <c r="K31" s="125"/>
      <c r="L31" s="3"/>
      <c r="M31" s="126"/>
      <c r="N31" s="111"/>
      <c r="O31" s="112"/>
    </row>
    <row r="32" customFormat="false" ht="12.75" hidden="false" customHeight="false" outlineLevel="0" collapsed="false">
      <c r="A32" s="3"/>
      <c r="B32" s="127" t="s">
        <v>151</v>
      </c>
      <c r="C32" s="3"/>
      <c r="D32" s="122"/>
      <c r="E32" s="5"/>
      <c r="F32" s="123"/>
      <c r="G32" s="123"/>
      <c r="H32" s="123"/>
      <c r="I32" s="5"/>
      <c r="J32" s="128"/>
      <c r="K32" s="129"/>
      <c r="L32" s="128"/>
      <c r="M32" s="115"/>
      <c r="N32" s="86"/>
      <c r="O32" s="86"/>
    </row>
    <row r="33" customFormat="false" ht="12.75" hidden="false" customHeight="false" outlineLevel="0" collapsed="false">
      <c r="A33" s="3"/>
      <c r="B33" s="87" t="s">
        <v>148</v>
      </c>
      <c r="C33" s="3"/>
      <c r="D33" s="117"/>
      <c r="E33" s="3"/>
      <c r="F33" s="118" t="n">
        <v>600</v>
      </c>
      <c r="G33" s="90" t="s">
        <v>132</v>
      </c>
      <c r="H33" s="118" t="n">
        <v>800</v>
      </c>
      <c r="I33" s="3"/>
      <c r="J33" s="91" t="n">
        <f aca="false">+D33*F33/1000</f>
        <v>0</v>
      </c>
      <c r="K33" s="84"/>
      <c r="L33" s="91" t="n">
        <f aca="false">+D33*H33/1000</f>
        <v>0</v>
      </c>
      <c r="M33" s="86"/>
      <c r="N33" s="86"/>
      <c r="O33" s="86"/>
    </row>
    <row r="34" customFormat="false" ht="9.75" hidden="false" customHeight="true" outlineLevel="0" collapsed="false">
      <c r="A34" s="3"/>
      <c r="B34" s="87" t="s">
        <v>152</v>
      </c>
      <c r="C34" s="3"/>
      <c r="D34" s="117" t="n">
        <f aca="false">'New Powerdat Asset info'!M38</f>
        <v>1713.14</v>
      </c>
      <c r="E34" s="3"/>
      <c r="F34" s="86" t="n">
        <v>150</v>
      </c>
      <c r="G34" s="90" t="s">
        <v>132</v>
      </c>
      <c r="H34" s="86" t="n">
        <v>250</v>
      </c>
      <c r="I34" s="3"/>
      <c r="J34" s="83" t="n">
        <f aca="false">+D34*F34/1000</f>
        <v>256.971</v>
      </c>
      <c r="K34" s="84"/>
      <c r="L34" s="83" t="n">
        <f aca="false">+D34*H34/1000</f>
        <v>428.285</v>
      </c>
      <c r="M34" s="86"/>
      <c r="N34" s="86"/>
      <c r="O34" s="86"/>
    </row>
    <row r="35" customFormat="false" ht="15" hidden="false" customHeight="false" outlineLevel="0" collapsed="false">
      <c r="A35" s="3"/>
      <c r="B35" s="87" t="s">
        <v>153</v>
      </c>
      <c r="C35" s="3"/>
      <c r="D35" s="117" t="n">
        <f aca="false">+'New Powerdat Asset info'!M52</f>
        <v>72.7</v>
      </c>
      <c r="E35" s="3"/>
      <c r="F35" s="86" t="n">
        <v>700</v>
      </c>
      <c r="G35" s="90" t="s">
        <v>132</v>
      </c>
      <c r="H35" s="86" t="n">
        <v>800</v>
      </c>
      <c r="I35" s="3"/>
      <c r="J35" s="130" t="n">
        <f aca="false">+D35*F35/1000</f>
        <v>50.89</v>
      </c>
      <c r="K35" s="121"/>
      <c r="L35" s="131" t="n">
        <f aca="false">+D35*H35/1000</f>
        <v>58.16</v>
      </c>
      <c r="M35" s="86"/>
      <c r="N35" s="86"/>
      <c r="O35" s="86"/>
    </row>
    <row r="36" customFormat="false" ht="9.75" hidden="false" customHeight="true" outlineLevel="0" collapsed="false">
      <c r="A36" s="3"/>
      <c r="B36" s="87" t="s">
        <v>150</v>
      </c>
      <c r="C36" s="3"/>
      <c r="D36" s="117" t="n">
        <f aca="false">+SUM(D33:D35)</f>
        <v>1785.84</v>
      </c>
      <c r="E36" s="3"/>
      <c r="F36" s="3"/>
      <c r="G36" s="3"/>
      <c r="H36" s="3"/>
      <c r="I36" s="3"/>
      <c r="J36" s="91" t="n">
        <f aca="false">+SUM(J33:J35)</f>
        <v>307.861</v>
      </c>
      <c r="K36" s="84"/>
      <c r="L36" s="91" t="n">
        <f aca="false">+SUM(L33:L35)</f>
        <v>486.445</v>
      </c>
      <c r="M36" s="112" t="n">
        <v>300</v>
      </c>
      <c r="N36" s="111" t="s">
        <v>132</v>
      </c>
      <c r="O36" s="112" t="n">
        <v>500</v>
      </c>
    </row>
    <row r="37" customFormat="false" ht="9.75" hidden="false" customHeight="true" outlineLevel="0" collapsed="false">
      <c r="A37" s="3"/>
      <c r="B37" s="87"/>
      <c r="C37" s="3"/>
      <c r="D37" s="117"/>
      <c r="E37" s="3"/>
      <c r="F37" s="3"/>
      <c r="G37" s="3"/>
      <c r="H37" s="3"/>
      <c r="I37" s="3"/>
      <c r="J37" s="91"/>
      <c r="K37" s="84"/>
      <c r="L37" s="91"/>
      <c r="M37" s="132"/>
      <c r="N37" s="96"/>
      <c r="O37" s="132"/>
    </row>
    <row r="38" customFormat="false" ht="9.75" hidden="false" customHeight="true" outlineLevel="0" collapsed="false">
      <c r="A38" s="3"/>
      <c r="B38" s="133" t="s">
        <v>154</v>
      </c>
      <c r="C38" s="3"/>
      <c r="D38" s="117"/>
      <c r="E38" s="3"/>
      <c r="F38" s="3"/>
      <c r="G38" s="3"/>
      <c r="H38" s="3"/>
      <c r="I38" s="3"/>
      <c r="J38" s="91"/>
      <c r="K38" s="84"/>
      <c r="L38" s="91"/>
      <c r="M38" s="132" t="n">
        <f aca="false">SUM(M21:M36)</f>
        <v>8250</v>
      </c>
      <c r="N38" s="96" t="s">
        <v>132</v>
      </c>
      <c r="O38" s="132" t="n">
        <f aca="false">SUM(O21:O36)</f>
        <v>10700</v>
      </c>
    </row>
    <row r="39" customFormat="false" ht="15.75" hidden="false" customHeight="false" outlineLevel="0" collapsed="false">
      <c r="A39" s="3"/>
      <c r="B39" s="3"/>
      <c r="C39" s="3"/>
      <c r="D39" s="134"/>
      <c r="E39" s="3"/>
      <c r="F39" s="3"/>
      <c r="G39" s="3"/>
      <c r="H39" s="3"/>
      <c r="I39" s="135"/>
      <c r="J39" s="136"/>
      <c r="K39" s="137"/>
      <c r="L39" s="136"/>
      <c r="M39" s="136"/>
      <c r="N39" s="91"/>
      <c r="O39" s="138"/>
    </row>
    <row r="40" customFormat="false" ht="15.75" hidden="false" customHeight="false" outlineLevel="0" collapsed="false">
      <c r="A40" s="3"/>
      <c r="B40" s="98" t="s">
        <v>155</v>
      </c>
      <c r="C40" s="3"/>
      <c r="D40" s="134"/>
      <c r="E40" s="3"/>
      <c r="F40" s="3"/>
      <c r="G40" s="3"/>
      <c r="H40" s="3"/>
      <c r="I40" s="135"/>
      <c r="J40" s="136"/>
      <c r="K40" s="137"/>
      <c r="L40" s="136"/>
      <c r="M40" s="132" t="n">
        <v>6500</v>
      </c>
      <c r="N40" s="96" t="s">
        <v>132</v>
      </c>
      <c r="O40" s="132" t="n">
        <v>7500</v>
      </c>
    </row>
    <row r="41" customFormat="false" ht="15.75" hidden="false" customHeight="false" outlineLevel="0" collapsed="false">
      <c r="A41" s="3"/>
      <c r="B41" s="3"/>
      <c r="C41" s="3"/>
      <c r="D41" s="134"/>
      <c r="E41" s="3"/>
      <c r="F41" s="3"/>
      <c r="G41" s="3"/>
      <c r="H41" s="3"/>
      <c r="I41" s="135"/>
      <c r="J41" s="136"/>
      <c r="K41" s="137"/>
      <c r="L41" s="136"/>
      <c r="M41" s="136"/>
      <c r="N41" s="91"/>
      <c r="O41" s="138"/>
    </row>
    <row r="42" customFormat="false" ht="13.5" hidden="false" customHeight="false" outlineLevel="0" collapsed="false">
      <c r="A42" s="3"/>
      <c r="B42" s="139" t="s">
        <v>156</v>
      </c>
      <c r="C42" s="3"/>
      <c r="D42" s="140"/>
      <c r="E42" s="140"/>
      <c r="F42" s="140"/>
      <c r="G42" s="3"/>
      <c r="H42" s="3"/>
      <c r="I42" s="141"/>
      <c r="J42" s="141"/>
      <c r="K42" s="141"/>
      <c r="L42" s="141"/>
      <c r="M42" s="142" t="n">
        <f aca="false">M40+M11</f>
        <v>7900</v>
      </c>
      <c r="N42" s="129" t="s">
        <v>132</v>
      </c>
      <c r="O42" s="142" t="n">
        <f aca="false">O40+O11</f>
        <v>9050</v>
      </c>
    </row>
    <row r="43" customFormat="false" ht="9.75" hidden="false" customHeight="true" outlineLevel="0" collapsed="false">
      <c r="A43" s="3"/>
      <c r="B43" s="143"/>
      <c r="C43" s="3"/>
      <c r="D43" s="140"/>
      <c r="E43" s="140"/>
      <c r="F43" s="140"/>
      <c r="G43" s="3"/>
      <c r="H43" s="3"/>
      <c r="I43" s="141"/>
      <c r="J43" s="141"/>
      <c r="K43" s="141"/>
      <c r="L43" s="141"/>
      <c r="M43" s="144"/>
      <c r="N43" s="129"/>
      <c r="O43" s="144"/>
    </row>
    <row r="44" customFormat="false" ht="15.75" hidden="false" customHeight="false" outlineLevel="0" collapsed="false">
      <c r="A44" s="3"/>
      <c r="B44" s="3"/>
      <c r="C44" s="3"/>
      <c r="D44" s="134" t="s">
        <v>157</v>
      </c>
      <c r="E44" s="3"/>
      <c r="F44" s="145" t="s">
        <v>158</v>
      </c>
      <c r="G44" s="3"/>
      <c r="H44" s="3"/>
      <c r="I44" s="135"/>
      <c r="J44" s="136"/>
      <c r="K44" s="137"/>
      <c r="L44" s="136"/>
      <c r="M44" s="136"/>
      <c r="N44" s="91" t="n">
        <f aca="false">-'Financial Data Slide'!K25</f>
        <v>-3549.599</v>
      </c>
      <c r="O44" s="138"/>
    </row>
    <row r="45" customFormat="false" ht="15.75" hidden="false" customHeight="false" outlineLevel="0" collapsed="false">
      <c r="A45" s="3"/>
      <c r="B45" s="3"/>
      <c r="C45" s="3"/>
      <c r="D45" s="134"/>
      <c r="E45" s="3"/>
      <c r="F45" s="3"/>
      <c r="G45" s="3"/>
      <c r="H45" s="3"/>
      <c r="I45" s="135"/>
      <c r="J45" s="136"/>
      <c r="K45" s="137"/>
      <c r="L45" s="136"/>
      <c r="M45" s="3"/>
      <c r="N45" s="138"/>
      <c r="O45" s="138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  <c r="CH45" s="146"/>
      <c r="CI45" s="146"/>
      <c r="CJ45" s="146"/>
      <c r="CK45" s="146"/>
      <c r="CL45" s="146"/>
      <c r="CM45" s="146"/>
      <c r="CN45" s="146"/>
      <c r="CO45" s="146"/>
      <c r="CP45" s="146"/>
      <c r="CQ45" s="146"/>
      <c r="CR45" s="146"/>
      <c r="CS45" s="146"/>
      <c r="CT45" s="146"/>
      <c r="CU45" s="146"/>
      <c r="CV45" s="146"/>
      <c r="CW45" s="146"/>
      <c r="CX45" s="146"/>
      <c r="CY45" s="146"/>
      <c r="CZ45" s="146"/>
      <c r="DA45" s="146"/>
      <c r="DB45" s="146"/>
      <c r="DC45" s="146"/>
      <c r="DD45" s="146"/>
      <c r="DE45" s="146"/>
      <c r="DF45" s="146"/>
      <c r="DG45" s="146"/>
      <c r="DH45" s="146"/>
      <c r="DI45" s="146"/>
      <c r="DJ45" s="146"/>
      <c r="DK45" s="146"/>
      <c r="DL45" s="146"/>
      <c r="DM45" s="146"/>
      <c r="DN45" s="146"/>
      <c r="DO45" s="146"/>
      <c r="DP45" s="146"/>
      <c r="DQ45" s="146"/>
      <c r="DR45" s="146"/>
      <c r="DS45" s="146"/>
      <c r="DT45" s="146"/>
      <c r="DU45" s="146"/>
      <c r="DV45" s="146"/>
      <c r="DW45" s="146"/>
      <c r="DX45" s="146"/>
      <c r="DY45" s="146"/>
      <c r="DZ45" s="146"/>
      <c r="EA45" s="146"/>
      <c r="EB45" s="146"/>
      <c r="EC45" s="146"/>
      <c r="ED45" s="146"/>
      <c r="EE45" s="146"/>
      <c r="EF45" s="146"/>
      <c r="EG45" s="146"/>
      <c r="EH45" s="146"/>
      <c r="EI45" s="146"/>
      <c r="EJ45" s="146"/>
      <c r="EK45" s="146"/>
      <c r="EL45" s="146"/>
      <c r="EM45" s="146"/>
      <c r="EN45" s="146"/>
      <c r="EO45" s="146"/>
      <c r="EP45" s="146"/>
      <c r="EQ45" s="146"/>
      <c r="ER45" s="146"/>
      <c r="ES45" s="146"/>
      <c r="ET45" s="146"/>
      <c r="EU45" s="146"/>
      <c r="EV45" s="146"/>
      <c r="EW45" s="146"/>
      <c r="EX45" s="146"/>
      <c r="EY45" s="146"/>
      <c r="EZ45" s="146"/>
      <c r="FA45" s="146"/>
      <c r="FB45" s="146"/>
      <c r="FC45" s="146"/>
      <c r="FD45" s="146"/>
      <c r="FE45" s="146"/>
      <c r="FF45" s="146"/>
      <c r="FG45" s="146"/>
      <c r="FH45" s="146"/>
      <c r="FI45" s="146"/>
      <c r="FJ45" s="146"/>
      <c r="FK45" s="146"/>
      <c r="FL45" s="146"/>
      <c r="FM45" s="146"/>
      <c r="FN45" s="146"/>
      <c r="FO45" s="146"/>
      <c r="FP45" s="146"/>
      <c r="FQ45" s="146"/>
      <c r="FR45" s="146"/>
      <c r="FS45" s="146"/>
      <c r="FT45" s="146"/>
      <c r="FU45" s="146"/>
      <c r="FV45" s="146"/>
      <c r="FW45" s="146"/>
      <c r="FX45" s="146"/>
      <c r="FY45" s="146"/>
      <c r="FZ45" s="146"/>
      <c r="GA45" s="146"/>
      <c r="GB45" s="146"/>
      <c r="GC45" s="146"/>
      <c r="GD45" s="146"/>
      <c r="GE45" s="146"/>
      <c r="GF45" s="146"/>
      <c r="GG45" s="146"/>
      <c r="GH45" s="146"/>
      <c r="GI45" s="146"/>
      <c r="GJ45" s="146"/>
      <c r="GK45" s="146"/>
      <c r="GL45" s="146"/>
      <c r="GM45" s="146"/>
      <c r="GN45" s="146"/>
      <c r="GO45" s="146"/>
      <c r="GP45" s="146"/>
      <c r="GQ45" s="146"/>
      <c r="GR45" s="146"/>
      <c r="GS45" s="146"/>
      <c r="GT45" s="146"/>
      <c r="GU45" s="146"/>
      <c r="GV45" s="146"/>
      <c r="GW45" s="146"/>
      <c r="GX45" s="146"/>
      <c r="GY45" s="146"/>
      <c r="GZ45" s="146"/>
      <c r="HA45" s="146"/>
      <c r="HB45" s="146"/>
      <c r="HC45" s="146"/>
      <c r="HD45" s="146"/>
      <c r="HE45" s="146"/>
      <c r="HF45" s="146"/>
      <c r="HG45" s="146"/>
      <c r="HH45" s="146"/>
      <c r="HI45" s="146"/>
      <c r="HJ45" s="146"/>
      <c r="HK45" s="146"/>
      <c r="HL45" s="146"/>
      <c r="HM45" s="146"/>
      <c r="HN45" s="146"/>
      <c r="HO45" s="146"/>
      <c r="HP45" s="146"/>
      <c r="HQ45" s="146"/>
      <c r="HR45" s="146"/>
      <c r="HS45" s="146"/>
      <c r="HT45" s="146"/>
      <c r="HU45" s="146"/>
      <c r="HV45" s="146"/>
      <c r="HW45" s="146"/>
      <c r="HX45" s="146"/>
      <c r="HY45" s="146"/>
      <c r="HZ45" s="146"/>
      <c r="IA45" s="146"/>
      <c r="IB45" s="146"/>
      <c r="IC45" s="146"/>
      <c r="ID45" s="146"/>
      <c r="IE45" s="146"/>
      <c r="IF45" s="146"/>
      <c r="IG45" s="146"/>
      <c r="IH45" s="146"/>
      <c r="II45" s="146"/>
      <c r="IJ45" s="146"/>
      <c r="IK45" s="146"/>
      <c r="IL45" s="146"/>
      <c r="IM45" s="146"/>
      <c r="IN45" s="146"/>
      <c r="IO45" s="146"/>
      <c r="IP45" s="146"/>
      <c r="IQ45" s="146"/>
      <c r="IR45" s="146"/>
      <c r="IS45" s="146"/>
      <c r="IT45" s="146"/>
      <c r="IU45" s="146"/>
      <c r="IV45" s="146"/>
      <c r="IW45" s="146"/>
    </row>
    <row r="46" customFormat="false" ht="13.5" hidden="false" customHeight="false" outlineLevel="0" collapsed="false">
      <c r="A46" s="3"/>
      <c r="B46" s="3"/>
      <c r="C46" s="3"/>
      <c r="D46" s="140" t="s">
        <v>159</v>
      </c>
      <c r="E46" s="140"/>
      <c r="F46" s="140"/>
      <c r="G46" s="140"/>
      <c r="H46" s="3"/>
      <c r="I46" s="3"/>
      <c r="J46" s="3"/>
      <c r="K46" s="3"/>
      <c r="L46" s="3"/>
      <c r="M46" s="147" t="n">
        <f aca="false">M42+N44</f>
        <v>4350.401</v>
      </c>
      <c r="N46" s="148" t="s">
        <v>132</v>
      </c>
      <c r="O46" s="147" t="n">
        <f aca="false">O42+N44</f>
        <v>5500.401</v>
      </c>
    </row>
    <row r="47" customFormat="false" ht="16.5" hidden="false" customHeight="false" outlineLevel="0" collapsed="false">
      <c r="A47" s="3"/>
      <c r="B47" s="3"/>
      <c r="C47" s="3"/>
      <c r="D47" s="134"/>
      <c r="E47" s="3"/>
      <c r="F47" s="3"/>
      <c r="G47" s="3"/>
      <c r="H47" s="3"/>
      <c r="I47" s="135"/>
      <c r="J47" s="136"/>
      <c r="K47" s="137"/>
      <c r="L47" s="136"/>
      <c r="M47" s="3"/>
      <c r="N47" s="138"/>
      <c r="O47" s="138"/>
    </row>
    <row r="48" customFormat="false" ht="12.75" hidden="false" customHeight="false" outlineLevel="0" collapsed="false">
      <c r="A48" s="3"/>
      <c r="B48" s="3"/>
      <c r="C48" s="3"/>
      <c r="D48" s="3" t="s">
        <v>160</v>
      </c>
      <c r="E48" s="3"/>
      <c r="F48" s="3"/>
      <c r="G48" s="3"/>
      <c r="H48" s="3"/>
      <c r="I48" s="3"/>
      <c r="J48" s="3"/>
      <c r="K48" s="3"/>
      <c r="L48" s="3"/>
      <c r="M48" s="3"/>
      <c r="N48" s="149" t="n">
        <f aca="false">+'Corp I-S&amp;B-S'!I41</f>
        <v>159.246</v>
      </c>
      <c r="O48" s="150"/>
    </row>
    <row r="49" customFormat="false" ht="13.5" hidden="false" customHeight="false" outlineLevel="0" collapsed="false">
      <c r="A49" s="3"/>
      <c r="B49" s="3"/>
      <c r="C49" s="151"/>
      <c r="D49" s="3" t="s">
        <v>161</v>
      </c>
      <c r="E49" s="3"/>
      <c r="F49" s="3"/>
      <c r="G49" s="3"/>
      <c r="H49" s="3"/>
      <c r="I49" s="3"/>
      <c r="J49" s="3"/>
      <c r="K49" s="3"/>
      <c r="L49" s="3"/>
      <c r="M49" s="152" t="n">
        <f aca="false">M46/N48</f>
        <v>27.3187458397699</v>
      </c>
      <c r="N49" s="94" t="s">
        <v>132</v>
      </c>
      <c r="O49" s="152" t="n">
        <f aca="false">O46/N48</f>
        <v>34.5402773068083</v>
      </c>
    </row>
    <row r="50" customFormat="false" ht="16.5" hidden="false" customHeight="false" outlineLevel="0" collapsed="false">
      <c r="A50" s="141"/>
      <c r="B50" s="3"/>
      <c r="C50" s="3"/>
      <c r="D50" s="134"/>
      <c r="E50" s="3"/>
      <c r="F50" s="3"/>
      <c r="G50" s="3"/>
      <c r="H50" s="3"/>
      <c r="I50" s="135"/>
      <c r="J50" s="136"/>
      <c r="K50" s="137"/>
      <c r="L50" s="136"/>
      <c r="M50" s="3"/>
      <c r="N50" s="138"/>
      <c r="O50" s="138"/>
    </row>
    <row r="51" customFormat="false" ht="12.75" hidden="false" customHeight="false" outlineLevel="0" collapsed="false">
      <c r="A51" s="70"/>
      <c r="B51" s="3"/>
      <c r="C51" s="3"/>
      <c r="D51" s="3" t="s">
        <v>162</v>
      </c>
      <c r="E51" s="3"/>
      <c r="F51" s="3"/>
      <c r="G51" s="3"/>
      <c r="H51" s="3"/>
      <c r="I51" s="153"/>
      <c r="J51" s="3"/>
      <c r="K51" s="3"/>
      <c r="L51" s="3"/>
      <c r="M51" s="154"/>
      <c r="N51" s="155" t="n">
        <f aca="false">+'Corp I-S&amp;B-S'!D54</f>
        <v>21.4375</v>
      </c>
      <c r="O51" s="155"/>
    </row>
    <row r="52" customFormat="false" ht="13.5" hidden="false" customHeight="false" outlineLevel="0" collapsed="false">
      <c r="A52" s="70"/>
      <c r="B52" s="146"/>
      <c r="C52" s="3"/>
      <c r="D52" s="3" t="s">
        <v>163</v>
      </c>
      <c r="E52" s="3"/>
      <c r="F52" s="3"/>
      <c r="G52" s="3"/>
      <c r="H52" s="3"/>
      <c r="I52" s="3"/>
      <c r="J52" s="14"/>
      <c r="K52" s="14"/>
      <c r="L52" s="14"/>
      <c r="M52" s="156" t="n">
        <f aca="false">+(M49-$N$51)/$N$51</f>
        <v>0.274343829260404</v>
      </c>
      <c r="N52" s="94" t="s">
        <v>132</v>
      </c>
      <c r="O52" s="156" t="n">
        <f aca="false">+(O49-$N$51)/$N$51</f>
        <v>0.611208270871526</v>
      </c>
    </row>
    <row r="53" customFormat="false" ht="13.5" hidden="false" customHeight="false" outlineLevel="0" collapsed="false">
      <c r="A53" s="7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customFormat="false" ht="12.75" hidden="false" customHeight="false" outlineLevel="0" collapsed="false">
      <c r="A54" s="7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customFormat="false" ht="12.75" hidden="false" customHeight="false" outlineLevel="0" collapsed="false">
      <c r="B55" s="3" t="s">
        <v>164</v>
      </c>
    </row>
    <row r="56" customFormat="false" ht="12.75" hidden="false" customHeight="false" outlineLevel="0" collapsed="false">
      <c r="B56" s="3" t="s">
        <v>165</v>
      </c>
    </row>
    <row r="57" customFormat="false" ht="12.75" hidden="false" customHeight="false" outlineLevel="0" collapsed="false">
      <c r="B57" s="3" t="s">
        <v>166</v>
      </c>
    </row>
  </sheetData>
  <mergeCells count="5">
    <mergeCell ref="J4:L4"/>
    <mergeCell ref="M4:O4"/>
    <mergeCell ref="F5:H5"/>
    <mergeCell ref="I5:L5"/>
    <mergeCell ref="M5:O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1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28"/>
    <col collapsed="false" customWidth="true" hidden="false" outlineLevel="0" max="5" min="3" style="0" width="7.42"/>
    <col collapsed="false" customWidth="true" hidden="false" outlineLevel="0" max="7" min="7" style="0" width="8.7"/>
    <col collapsed="false" customWidth="true" hidden="false" outlineLevel="0" max="9" min="8" style="0" width="7.42"/>
    <col collapsed="false" customWidth="true" hidden="false" outlineLevel="0" max="11" min="10" style="0" width="9.28"/>
    <col collapsed="false" customWidth="true" hidden="false" outlineLevel="0" max="12" min="12" style="0" width="11.28"/>
    <col collapsed="false" customWidth="true" hidden="false" outlineLevel="0" max="13" min="13" style="0" width="7.42"/>
    <col collapsed="false" customWidth="true" hidden="false" outlineLevel="0" max="14" min="14" style="0" width="8.41"/>
    <col collapsed="false" customWidth="true" hidden="false" outlineLevel="0" max="15" min="15" style="0" width="8.99"/>
    <col collapsed="false" customWidth="true" hidden="false" outlineLevel="0" max="16" min="16" style="0" width="8.7"/>
  </cols>
  <sheetData>
    <row r="1" customFormat="false" ht="12.75" hidden="false" customHeight="false" outlineLevel="0" collapsed="false">
      <c r="B1" s="785" t="s">
        <v>860</v>
      </c>
    </row>
    <row r="2" customFormat="false" ht="12.75" hidden="false" customHeight="false" outlineLevel="0" collapsed="false">
      <c r="C2" s="786"/>
      <c r="D2" s="786" t="s">
        <v>692</v>
      </c>
      <c r="E2" s="786"/>
      <c r="F2" s="786"/>
      <c r="G2" s="786"/>
      <c r="H2" s="786"/>
      <c r="I2" s="786"/>
      <c r="J2" s="786"/>
      <c r="K2" s="786"/>
      <c r="L2" s="786"/>
      <c r="M2" s="787"/>
      <c r="N2" s="786"/>
      <c r="O2" s="786" t="s">
        <v>861</v>
      </c>
      <c r="P2" s="786" t="s">
        <v>862</v>
      </c>
      <c r="Q2" s="786"/>
      <c r="R2" s="786"/>
    </row>
    <row r="3" customFormat="false" ht="12.75" hidden="false" customHeight="false" outlineLevel="0" collapsed="false">
      <c r="C3" s="786" t="s">
        <v>863</v>
      </c>
      <c r="D3" s="786" t="s">
        <v>515</v>
      </c>
      <c r="E3" s="786" t="s">
        <v>864</v>
      </c>
      <c r="F3" s="786" t="s">
        <v>541</v>
      </c>
      <c r="G3" s="786"/>
      <c r="H3" s="786"/>
      <c r="I3" s="786" t="s">
        <v>636</v>
      </c>
      <c r="J3" s="786" t="s">
        <v>61</v>
      </c>
      <c r="K3" s="786" t="s">
        <v>63</v>
      </c>
      <c r="L3" s="786"/>
      <c r="M3" s="787"/>
      <c r="N3" s="786" t="s">
        <v>865</v>
      </c>
      <c r="O3" s="786" t="s">
        <v>521</v>
      </c>
      <c r="P3" s="786" t="s">
        <v>866</v>
      </c>
      <c r="Q3" s="786"/>
      <c r="R3" s="786"/>
    </row>
    <row r="4" customFormat="false" ht="13.5" hidden="false" customHeight="false" outlineLevel="0" collapsed="false">
      <c r="B4" s="788" t="s">
        <v>867</v>
      </c>
      <c r="C4" s="789" t="s">
        <v>525</v>
      </c>
      <c r="D4" s="789" t="s">
        <v>6</v>
      </c>
      <c r="E4" s="789" t="s">
        <v>6</v>
      </c>
      <c r="F4" s="789" t="s">
        <v>415</v>
      </c>
      <c r="G4" s="789" t="s">
        <v>720</v>
      </c>
      <c r="H4" s="789" t="s">
        <v>633</v>
      </c>
      <c r="I4" s="789" t="s">
        <v>6</v>
      </c>
      <c r="J4" s="789" t="s">
        <v>415</v>
      </c>
      <c r="K4" s="789" t="s">
        <v>415</v>
      </c>
      <c r="L4" s="789" t="s">
        <v>868</v>
      </c>
      <c r="M4" s="790" t="s">
        <v>869</v>
      </c>
      <c r="N4" s="789" t="s">
        <v>415</v>
      </c>
      <c r="O4" s="789" t="s">
        <v>761</v>
      </c>
      <c r="P4" s="789" t="s">
        <v>761</v>
      </c>
      <c r="Q4" s="789"/>
      <c r="R4" s="789"/>
    </row>
    <row r="5" customFormat="false" ht="12.75" hidden="false" customHeight="false" outlineLevel="0" collapsed="false">
      <c r="B5" s="0" t="s">
        <v>870</v>
      </c>
      <c r="C5" s="367" t="n">
        <v>33</v>
      </c>
      <c r="D5" s="791" t="n">
        <v>3790</v>
      </c>
      <c r="E5" s="791" t="n">
        <v>6538</v>
      </c>
      <c r="F5" s="792" t="n">
        <v>12.9</v>
      </c>
      <c r="G5" s="792" t="n">
        <v>12.7</v>
      </c>
      <c r="H5" s="792" t="n">
        <v>12.1</v>
      </c>
      <c r="I5" s="792" t="n">
        <v>2.1</v>
      </c>
      <c r="J5" s="792" t="n">
        <v>7.1</v>
      </c>
      <c r="K5" s="792" t="n">
        <v>10</v>
      </c>
      <c r="L5" s="793" t="n">
        <v>0.052</v>
      </c>
      <c r="M5" s="794" t="n">
        <v>0.674</v>
      </c>
      <c r="N5" s="363" t="s">
        <v>871</v>
      </c>
      <c r="O5" s="794" t="n">
        <v>0.038</v>
      </c>
      <c r="P5" s="794" t="n">
        <v>-0.024</v>
      </c>
    </row>
    <row r="6" customFormat="false" ht="12.75" hidden="false" customHeight="false" outlineLevel="0" collapsed="false">
      <c r="B6" s="0" t="s">
        <v>872</v>
      </c>
      <c r="C6" s="634" t="n">
        <v>38.25</v>
      </c>
      <c r="D6" s="795" t="n">
        <v>5248</v>
      </c>
      <c r="E6" s="795" t="n">
        <v>8007</v>
      </c>
      <c r="F6" s="796" t="n">
        <v>13</v>
      </c>
      <c r="G6" s="796" t="n">
        <v>12.9</v>
      </c>
      <c r="H6" s="796" t="n">
        <v>12.4</v>
      </c>
      <c r="I6" s="796" t="n">
        <v>1.7</v>
      </c>
      <c r="J6" s="796" t="n">
        <v>6.6</v>
      </c>
      <c r="K6" s="796" t="n">
        <v>9.3</v>
      </c>
      <c r="L6" s="794" t="n">
        <v>0.066</v>
      </c>
      <c r="M6" s="794" t="n">
        <v>0.863</v>
      </c>
      <c r="N6" s="363" t="n">
        <v>12.5</v>
      </c>
      <c r="O6" s="794" t="n">
        <v>0.027</v>
      </c>
      <c r="P6" s="794" t="n">
        <v>0.02</v>
      </c>
    </row>
    <row r="7" customFormat="false" ht="12.75" hidden="false" customHeight="false" outlineLevel="0" collapsed="false">
      <c r="B7" s="0" t="s">
        <v>873</v>
      </c>
      <c r="C7" s="634" t="n">
        <v>28.44</v>
      </c>
      <c r="D7" s="795" t="n">
        <v>4253</v>
      </c>
      <c r="E7" s="795" t="n">
        <v>7887</v>
      </c>
      <c r="F7" s="796" t="n">
        <v>11.3</v>
      </c>
      <c r="G7" s="796" t="n">
        <v>12</v>
      </c>
      <c r="H7" s="796" t="n">
        <v>11.6</v>
      </c>
      <c r="I7" s="796" t="n">
        <v>1.4</v>
      </c>
      <c r="J7" s="796" t="n">
        <v>6.8</v>
      </c>
      <c r="K7" s="796" t="n">
        <v>10</v>
      </c>
      <c r="L7" s="794" t="n">
        <v>0.062</v>
      </c>
      <c r="M7" s="794" t="n">
        <v>0.661</v>
      </c>
      <c r="N7" s="363" t="n">
        <v>11.9</v>
      </c>
      <c r="O7" s="794" t="n">
        <v>0.033</v>
      </c>
      <c r="P7" s="794" t="n">
        <v>0.141</v>
      </c>
    </row>
    <row r="8" customFormat="false" ht="12.75" hidden="false" customHeight="false" outlineLevel="0" collapsed="false">
      <c r="B8" s="0" t="s">
        <v>874</v>
      </c>
      <c r="C8" s="634" t="n">
        <v>17.81</v>
      </c>
      <c r="D8" s="795" t="n">
        <v>2837</v>
      </c>
      <c r="E8" s="795" t="n">
        <v>4209</v>
      </c>
      <c r="F8" s="796" t="n">
        <v>14.7</v>
      </c>
      <c r="G8" s="796" t="n">
        <v>13.3</v>
      </c>
      <c r="H8" s="796" t="n">
        <v>12.2</v>
      </c>
      <c r="I8" s="796" t="n">
        <v>2</v>
      </c>
      <c r="J8" s="796" t="n">
        <v>8.9</v>
      </c>
      <c r="K8" s="796" t="n">
        <v>13.7</v>
      </c>
      <c r="L8" s="794" t="n">
        <v>0.053</v>
      </c>
      <c r="M8" s="794" t="n">
        <v>0.773</v>
      </c>
      <c r="N8" s="363" t="n">
        <v>14.1</v>
      </c>
      <c r="O8" s="794" t="n">
        <v>0.052</v>
      </c>
      <c r="P8" s="794" t="n">
        <v>0.039</v>
      </c>
    </row>
    <row r="9" customFormat="false" ht="12.75" hidden="false" customHeight="false" outlineLevel="0" collapsed="false">
      <c r="B9" s="0" t="s">
        <v>875</v>
      </c>
      <c r="C9" s="634" t="n">
        <v>37</v>
      </c>
      <c r="D9" s="795" t="n">
        <v>5367</v>
      </c>
      <c r="E9" s="795" t="n">
        <v>10252</v>
      </c>
      <c r="F9" s="796" t="n">
        <v>11.6</v>
      </c>
      <c r="G9" s="796" t="n">
        <v>11.5</v>
      </c>
      <c r="H9" s="796" t="n">
        <v>10.9</v>
      </c>
      <c r="I9" s="796" t="n">
        <v>1.4</v>
      </c>
      <c r="J9" s="796" t="n">
        <v>6.5</v>
      </c>
      <c r="K9" s="796" t="n">
        <v>11.6</v>
      </c>
      <c r="L9" s="794" t="n">
        <v>0.044</v>
      </c>
      <c r="M9" s="794" t="n">
        <v>0.321</v>
      </c>
      <c r="N9" s="363" t="n">
        <v>12.5</v>
      </c>
      <c r="O9" s="794" t="n">
        <v>0.078</v>
      </c>
      <c r="P9" s="794" t="n">
        <v>0.197</v>
      </c>
    </row>
    <row r="10" customFormat="false" ht="12.75" hidden="false" customHeight="false" outlineLevel="0" collapsed="false">
      <c r="B10" s="0" t="s">
        <v>876</v>
      </c>
      <c r="C10" s="634" t="n">
        <v>26.5</v>
      </c>
      <c r="D10" s="795" t="n">
        <v>4179</v>
      </c>
      <c r="E10" s="795" t="n">
        <v>8260</v>
      </c>
      <c r="F10" s="796" t="n">
        <v>10.3</v>
      </c>
      <c r="G10" s="796" t="n">
        <v>14</v>
      </c>
      <c r="H10" s="796" t="n">
        <v>13.4</v>
      </c>
      <c r="I10" s="796" t="s">
        <v>871</v>
      </c>
      <c r="J10" s="796" t="n">
        <v>6.8</v>
      </c>
      <c r="K10" s="796" t="n">
        <v>9.5</v>
      </c>
      <c r="L10" s="794" t="n">
        <v>0.082</v>
      </c>
      <c r="M10" s="794" t="n">
        <v>0.713</v>
      </c>
      <c r="N10" s="363" t="n">
        <v>18.3</v>
      </c>
      <c r="O10" s="794" t="n">
        <v>0.044</v>
      </c>
      <c r="P10" s="794" t="n">
        <v>0.062</v>
      </c>
    </row>
    <row r="11" customFormat="false" ht="12.75" hidden="false" customHeight="false" outlineLevel="0" collapsed="false">
      <c r="B11" s="0" t="s">
        <v>877</v>
      </c>
      <c r="C11" s="634" t="n">
        <v>23.69</v>
      </c>
      <c r="D11" s="795" t="n">
        <v>2759</v>
      </c>
      <c r="E11" s="795" t="n">
        <v>4926</v>
      </c>
      <c r="F11" s="796" t="n">
        <v>14</v>
      </c>
      <c r="G11" s="796" t="n">
        <v>12.1</v>
      </c>
      <c r="H11" s="796" t="n">
        <v>11.3</v>
      </c>
      <c r="I11" s="796" t="n">
        <v>1.4</v>
      </c>
      <c r="J11" s="796" t="n">
        <v>7.8</v>
      </c>
      <c r="K11" s="796" t="n">
        <v>12.9</v>
      </c>
      <c r="L11" s="794" t="n">
        <v>0.063</v>
      </c>
      <c r="M11" s="794" t="n">
        <v>1.066</v>
      </c>
      <c r="N11" s="363" t="s">
        <v>871</v>
      </c>
      <c r="O11" s="794" t="n">
        <v>0.034</v>
      </c>
      <c r="P11" s="794" t="s">
        <v>878</v>
      </c>
    </row>
    <row r="12" customFormat="false" ht="12.75" hidden="false" customHeight="false" outlineLevel="0" collapsed="false">
      <c r="C12" s="322"/>
      <c r="D12" s="677"/>
      <c r="E12" s="677"/>
      <c r="M12" s="797"/>
      <c r="P12" s="54"/>
    </row>
    <row r="13" customFormat="false" ht="12.75" hidden="false" customHeight="false" outlineLevel="0" collapsed="false">
      <c r="C13" s="798" t="s">
        <v>288</v>
      </c>
      <c r="D13" s="799"/>
      <c r="E13" s="799"/>
      <c r="F13" s="800" t="n">
        <f aca="false">MAX(F5:F11)</f>
        <v>14.7</v>
      </c>
      <c r="G13" s="800" t="n">
        <f aca="false">MAX(G5:G11)</f>
        <v>14</v>
      </c>
      <c r="H13" s="800" t="n">
        <f aca="false">MAX(H5:H11)</f>
        <v>13.4</v>
      </c>
      <c r="I13" s="800" t="n">
        <f aca="false">MAX(I5:I11)</f>
        <v>2.1</v>
      </c>
      <c r="J13" s="800" t="n">
        <f aca="false">MAX(J5:J11)</f>
        <v>8.9</v>
      </c>
      <c r="K13" s="800" t="n">
        <f aca="false">MAX(K5:K11)</f>
        <v>13.7</v>
      </c>
      <c r="L13" s="801" t="n">
        <f aca="false">MAX(L5:L11)</f>
        <v>0.082</v>
      </c>
      <c r="M13" s="802" t="n">
        <f aca="false">MAX(M5:M11)</f>
        <v>1.066</v>
      </c>
      <c r="N13" s="803" t="n">
        <f aca="false">MAX(N5:N11)</f>
        <v>18.3</v>
      </c>
      <c r="O13" s="802" t="n">
        <f aca="false">MAX(O5:O11)</f>
        <v>0.078</v>
      </c>
      <c r="P13" s="802" t="n">
        <f aca="false">MAX(P5:P11)</f>
        <v>0.197</v>
      </c>
    </row>
    <row r="14" customFormat="false" ht="12.75" hidden="false" customHeight="false" outlineLevel="0" collapsed="false">
      <c r="C14" s="322" t="s">
        <v>553</v>
      </c>
      <c r="D14" s="667"/>
      <c r="E14" s="667"/>
      <c r="F14" s="796" t="n">
        <f aca="false">MEDIAN(F5:F11)</f>
        <v>12.9</v>
      </c>
      <c r="G14" s="796" t="n">
        <f aca="false">MEDIAN(G5:G11)</f>
        <v>12.7</v>
      </c>
      <c r="H14" s="796" t="n">
        <f aca="false">MEDIAN(H5:H11)</f>
        <v>12.1</v>
      </c>
      <c r="I14" s="796" t="n">
        <f aca="false">MEDIAN(I5:I11)</f>
        <v>1.55</v>
      </c>
      <c r="J14" s="796" t="n">
        <f aca="false">MEDIAN(J5:J11)</f>
        <v>6.8</v>
      </c>
      <c r="K14" s="796" t="n">
        <f aca="false">MEDIAN(K5:K11)</f>
        <v>10</v>
      </c>
      <c r="L14" s="794" t="n">
        <f aca="false">MEDIAN(L5:L11)</f>
        <v>0.062</v>
      </c>
      <c r="M14" s="794" t="n">
        <f aca="false">MEDIAN(M5:M11)</f>
        <v>0.713</v>
      </c>
      <c r="N14" s="804" t="n">
        <f aca="false">MEDIAN(N5:N11)</f>
        <v>12.5</v>
      </c>
      <c r="O14" s="794" t="n">
        <f aca="false">MEDIAN(O5:O11)</f>
        <v>0.038</v>
      </c>
      <c r="P14" s="794" t="n">
        <f aca="false">MEDIAN(P5:P11)</f>
        <v>0.0505</v>
      </c>
    </row>
    <row r="15" customFormat="false" ht="12.75" hidden="false" customHeight="false" outlineLevel="0" collapsed="false">
      <c r="C15" s="322" t="s">
        <v>879</v>
      </c>
      <c r="D15" s="667"/>
      <c r="E15" s="667"/>
      <c r="F15" s="796" t="n">
        <f aca="false">AVERAGE(F5:F11)</f>
        <v>12.5428571428571</v>
      </c>
      <c r="G15" s="796" t="n">
        <f aca="false">AVERAGE(G5:G11)</f>
        <v>12.6428571428571</v>
      </c>
      <c r="H15" s="796" t="n">
        <f aca="false">AVERAGE(H5:H11)</f>
        <v>11.9857142857143</v>
      </c>
      <c r="I15" s="796" t="n">
        <f aca="false">AVERAGE(I5:I11)</f>
        <v>1.66666666666667</v>
      </c>
      <c r="J15" s="796" t="n">
        <f aca="false">AVERAGE(J5:J11)</f>
        <v>7.21428571428571</v>
      </c>
      <c r="K15" s="796" t="n">
        <f aca="false">AVERAGE(K5:K11)</f>
        <v>11</v>
      </c>
      <c r="L15" s="794" t="n">
        <f aca="false">AVERAGE(L5:L11)</f>
        <v>0.0602857142857143</v>
      </c>
      <c r="M15" s="794" t="n">
        <f aca="false">AVERAGE(M5:M11)</f>
        <v>0.724428571428571</v>
      </c>
      <c r="N15" s="796" t="n">
        <f aca="false">AVERAGE(N5:N11)</f>
        <v>13.86</v>
      </c>
      <c r="O15" s="794" t="n">
        <f aca="false">AVERAGE(O5:O11)</f>
        <v>0.0437142857142857</v>
      </c>
      <c r="P15" s="794" t="n">
        <f aca="false">AVERAGE(P5:P11)</f>
        <v>0.0725</v>
      </c>
    </row>
    <row r="16" customFormat="false" ht="12.75" hidden="false" customHeight="false" outlineLevel="0" collapsed="false">
      <c r="C16" s="805" t="s">
        <v>345</v>
      </c>
      <c r="D16" s="366"/>
      <c r="E16" s="366"/>
      <c r="F16" s="806" t="n">
        <f aca="false">MIN(F5:F11)</f>
        <v>10.3</v>
      </c>
      <c r="G16" s="806" t="n">
        <f aca="false">MIN(G5:G11)</f>
        <v>11.5</v>
      </c>
      <c r="H16" s="806" t="n">
        <f aca="false">MIN(H5:H11)</f>
        <v>10.9</v>
      </c>
      <c r="I16" s="806" t="n">
        <f aca="false">MIN(I5:I11)</f>
        <v>1.4</v>
      </c>
      <c r="J16" s="806" t="n">
        <f aca="false">MIN(J5:J11)</f>
        <v>6.5</v>
      </c>
      <c r="K16" s="806" t="n">
        <f aca="false">MIN(K5:K11)</f>
        <v>9.3</v>
      </c>
      <c r="L16" s="807" t="n">
        <f aca="false">MIN(L5:L11)</f>
        <v>0.044</v>
      </c>
      <c r="M16" s="807" t="n">
        <f aca="false">MIN(M5:M11)</f>
        <v>0.321</v>
      </c>
      <c r="N16" s="808" t="n">
        <f aca="false">MIN(N5:N11)</f>
        <v>11.9</v>
      </c>
      <c r="O16" s="807" t="n">
        <f aca="false">MIN(O5:O11)</f>
        <v>0.027</v>
      </c>
      <c r="P16" s="807" t="n">
        <f aca="false">MIN(P5:P11)</f>
        <v>-0.024</v>
      </c>
    </row>
    <row r="17" customFormat="false" ht="12.75" hidden="false" customHeight="false" outlineLevel="0" collapsed="false">
      <c r="C17" s="322"/>
    </row>
    <row r="18" customFormat="false" ht="12.75" hidden="false" customHeight="false" outlineLevel="0" collapsed="false">
      <c r="B18" s="0" t="s">
        <v>880</v>
      </c>
      <c r="C18" s="634" t="n">
        <v>22.13</v>
      </c>
      <c r="D18" s="795" t="n">
        <v>2869</v>
      </c>
      <c r="E18" s="795" t="n">
        <v>4934</v>
      </c>
      <c r="F18" s="796" t="n">
        <v>10.8</v>
      </c>
      <c r="G18" s="796" t="n">
        <v>9.9</v>
      </c>
      <c r="H18" s="796" t="n">
        <v>8.8</v>
      </c>
      <c r="I18" s="796" t="n">
        <v>2.3</v>
      </c>
      <c r="J18" s="796" t="n">
        <v>8.3</v>
      </c>
      <c r="K18" s="796" t="n">
        <v>12.5</v>
      </c>
      <c r="L18" s="794" t="n">
        <v>0.063</v>
      </c>
      <c r="M18" s="794" t="n">
        <v>0.88</v>
      </c>
      <c r="N18" s="363" t="n">
        <v>19.1</v>
      </c>
      <c r="O18" s="794" t="n">
        <v>0.043</v>
      </c>
      <c r="P18" s="794" t="n">
        <v>0.036</v>
      </c>
    </row>
    <row r="19" customFormat="false" ht="12.75" hidden="false" customHeight="false" outlineLevel="0" collapsed="false">
      <c r="C19" s="322"/>
    </row>
    <row r="20" customFormat="false" ht="12.75" hidden="false" customHeight="false" outlineLevel="0" collapsed="false">
      <c r="A20" s="0" t="s">
        <v>725</v>
      </c>
      <c r="C20" s="322"/>
    </row>
    <row r="21" customFormat="false" ht="12.75" hidden="false" customHeight="false" outlineLevel="0" collapsed="false">
      <c r="A21" s="0" t="s">
        <v>881</v>
      </c>
      <c r="B21" s="0" t="s">
        <v>882</v>
      </c>
      <c r="C21" s="0" t="s">
        <v>692</v>
      </c>
      <c r="D21" s="0" t="s">
        <v>883</v>
      </c>
      <c r="H21" s="0" t="s">
        <v>636</v>
      </c>
      <c r="I21" s="0" t="s">
        <v>509</v>
      </c>
      <c r="M21" s="0" t="s">
        <v>884</v>
      </c>
      <c r="N21" s="0" t="s">
        <v>885</v>
      </c>
    </row>
    <row r="22" customFormat="false" ht="12.75" hidden="false" customHeight="false" outlineLevel="0" collapsed="false">
      <c r="A22" s="366" t="s">
        <v>886</v>
      </c>
      <c r="B22" s="366" t="s">
        <v>887</v>
      </c>
      <c r="C22" s="366" t="s">
        <v>6</v>
      </c>
      <c r="D22" s="366" t="s">
        <v>6</v>
      </c>
      <c r="E22" s="366" t="s">
        <v>415</v>
      </c>
      <c r="F22" s="366" t="s">
        <v>888</v>
      </c>
      <c r="G22" s="366" t="s">
        <v>889</v>
      </c>
      <c r="H22" s="366" t="s">
        <v>6</v>
      </c>
      <c r="I22" s="366" t="s">
        <v>6</v>
      </c>
      <c r="J22" s="366" t="s">
        <v>63</v>
      </c>
      <c r="K22" s="366" t="s">
        <v>61</v>
      </c>
      <c r="L22" s="366" t="s">
        <v>890</v>
      </c>
      <c r="M22" s="366" t="s">
        <v>891</v>
      </c>
      <c r="N22" s="366" t="s">
        <v>892</v>
      </c>
      <c r="O22" s="366" t="s">
        <v>893</v>
      </c>
      <c r="P22" s="366" t="s">
        <v>894</v>
      </c>
    </row>
    <row r="23" customFormat="false" ht="12.75" hidden="false" customHeight="false" outlineLevel="0" collapsed="false">
      <c r="A23" s="654" t="n">
        <v>36399</v>
      </c>
      <c r="B23" s="0" t="s">
        <v>895</v>
      </c>
      <c r="C23" s="0" t="n">
        <v>137</v>
      </c>
      <c r="D23" s="0" t="n">
        <v>419</v>
      </c>
      <c r="E23" s="0" t="s">
        <v>878</v>
      </c>
      <c r="F23" s="0" t="n">
        <v>0</v>
      </c>
      <c r="G23" s="0" t="n">
        <v>0</v>
      </c>
      <c r="H23" s="0" t="n">
        <v>8.3</v>
      </c>
      <c r="I23" s="0" t="s">
        <v>878</v>
      </c>
      <c r="J23" s="0" t="n">
        <v>17.2</v>
      </c>
      <c r="K23" s="0" t="n">
        <v>11.4</v>
      </c>
      <c r="L23" s="0" t="n">
        <v>0</v>
      </c>
      <c r="M23" s="0" t="n">
        <v>1.7</v>
      </c>
      <c r="N23" s="728" t="n">
        <v>0.487</v>
      </c>
      <c r="O23" s="728" t="n">
        <v>0.439</v>
      </c>
      <c r="P23" s="728" t="n">
        <v>0.418</v>
      </c>
    </row>
    <row r="24" customFormat="false" ht="12.75" hidden="false" customHeight="false" outlineLevel="0" collapsed="false">
      <c r="A24" s="0" t="s">
        <v>896</v>
      </c>
      <c r="B24" s="0" t="s">
        <v>897</v>
      </c>
      <c r="N24" s="728"/>
      <c r="O24" s="728"/>
      <c r="P24" s="728"/>
    </row>
    <row r="25" customFormat="false" ht="12.75" hidden="false" customHeight="false" outlineLevel="0" collapsed="false">
      <c r="A25" s="654" t="n">
        <v>36395</v>
      </c>
      <c r="B25" s="0" t="s">
        <v>898</v>
      </c>
      <c r="C25" s="0" t="n">
        <v>5303</v>
      </c>
      <c r="D25" s="0" t="n">
        <v>8053</v>
      </c>
      <c r="E25" s="0" t="n">
        <v>17.8</v>
      </c>
      <c r="F25" s="0" t="n">
        <v>17.8</v>
      </c>
      <c r="G25" s="0" t="n">
        <v>17</v>
      </c>
      <c r="H25" s="0" t="n">
        <v>2.7</v>
      </c>
      <c r="I25" s="0" t="n">
        <v>7.6</v>
      </c>
      <c r="J25" s="0" t="n">
        <v>13.5</v>
      </c>
      <c r="K25" s="0" t="n">
        <v>8.5</v>
      </c>
      <c r="L25" s="0" t="n">
        <v>6194</v>
      </c>
      <c r="M25" s="0" t="n">
        <v>2.2</v>
      </c>
      <c r="N25" s="728" t="n">
        <v>0.238</v>
      </c>
      <c r="O25" s="728" t="n">
        <v>0.267</v>
      </c>
      <c r="P25" s="728" t="n">
        <v>0.293</v>
      </c>
    </row>
    <row r="26" customFormat="false" ht="12.75" hidden="false" customHeight="false" outlineLevel="0" collapsed="false">
      <c r="A26" s="0" t="s">
        <v>896</v>
      </c>
      <c r="B26" s="0" t="s">
        <v>899</v>
      </c>
      <c r="N26" s="728"/>
      <c r="O26" s="728"/>
      <c r="P26" s="728"/>
    </row>
    <row r="27" customFormat="false" ht="12.75" hidden="false" customHeight="false" outlineLevel="0" collapsed="false">
      <c r="A27" s="654" t="n">
        <v>36326</v>
      </c>
      <c r="B27" s="0" t="s">
        <v>900</v>
      </c>
      <c r="C27" s="0" t="n">
        <v>964</v>
      </c>
      <c r="D27" s="0" t="n">
        <v>1541</v>
      </c>
      <c r="E27" s="0" t="n">
        <v>14</v>
      </c>
      <c r="F27" s="0" t="n">
        <v>17.5</v>
      </c>
      <c r="G27" s="0" t="n">
        <v>18.6</v>
      </c>
      <c r="H27" s="0" t="n">
        <v>1.7</v>
      </c>
      <c r="I27" s="0" t="n">
        <v>7.1</v>
      </c>
      <c r="J27" s="0" t="n">
        <v>10.1</v>
      </c>
      <c r="K27" s="0" t="n">
        <v>7.3</v>
      </c>
      <c r="L27" s="0" t="n">
        <v>2908</v>
      </c>
      <c r="M27" s="0" t="n">
        <v>1.4</v>
      </c>
      <c r="N27" s="728" t="n">
        <v>0.47</v>
      </c>
      <c r="O27" s="728" t="n">
        <v>0.435</v>
      </c>
      <c r="P27" s="728" t="n">
        <v>0.413</v>
      </c>
    </row>
    <row r="28" customFormat="false" ht="12.75" hidden="false" customHeight="false" outlineLevel="0" collapsed="false">
      <c r="A28" s="0" t="s">
        <v>896</v>
      </c>
      <c r="B28" s="0" t="s">
        <v>901</v>
      </c>
      <c r="N28" s="728"/>
      <c r="O28" s="728"/>
      <c r="P28" s="728"/>
    </row>
    <row r="29" customFormat="false" ht="12.75" hidden="false" customHeight="false" outlineLevel="0" collapsed="false">
      <c r="A29" s="654" t="n">
        <v>36325</v>
      </c>
      <c r="B29" s="0" t="s">
        <v>902</v>
      </c>
      <c r="C29" s="0" t="n">
        <v>1770</v>
      </c>
      <c r="D29" s="0" t="n">
        <v>4651</v>
      </c>
      <c r="E29" s="0" t="s">
        <v>878</v>
      </c>
      <c r="F29" s="0" t="n">
        <v>23.2</v>
      </c>
      <c r="G29" s="0" t="n">
        <v>12.5</v>
      </c>
      <c r="H29" s="0" t="n">
        <v>1.5</v>
      </c>
      <c r="I29" s="0" t="n">
        <v>22.2</v>
      </c>
      <c r="J29" s="0" t="s">
        <v>878</v>
      </c>
      <c r="K29" s="0" t="n">
        <v>19.6</v>
      </c>
      <c r="L29" s="0" t="n">
        <v>7156</v>
      </c>
      <c r="M29" s="0" t="n">
        <v>1</v>
      </c>
      <c r="N29" s="728"/>
      <c r="O29" s="728" t="n">
        <v>0.019</v>
      </c>
      <c r="P29" s="728" t="n">
        <v>0.04</v>
      </c>
    </row>
    <row r="30" customFormat="false" ht="12.75" hidden="false" customHeight="false" outlineLevel="0" collapsed="false">
      <c r="A30" s="0" t="s">
        <v>896</v>
      </c>
      <c r="B30" s="0" t="s">
        <v>903</v>
      </c>
      <c r="N30" s="728"/>
      <c r="O30" s="728"/>
      <c r="P30" s="728"/>
    </row>
    <row r="31" customFormat="false" ht="12.75" hidden="false" customHeight="false" outlineLevel="0" collapsed="false">
      <c r="A31" s="654" t="n">
        <v>36325</v>
      </c>
      <c r="B31" s="0" t="s">
        <v>904</v>
      </c>
      <c r="C31" s="0" t="n">
        <v>965</v>
      </c>
      <c r="D31" s="0" t="n">
        <v>1297</v>
      </c>
      <c r="E31" s="0" t="n">
        <v>20.7</v>
      </c>
      <c r="F31" s="0" t="n">
        <v>19.5</v>
      </c>
      <c r="G31" s="0" t="n">
        <v>18.2</v>
      </c>
      <c r="H31" s="0" t="n">
        <v>2.6</v>
      </c>
      <c r="N31" s="728"/>
      <c r="O31" s="728"/>
      <c r="P31" s="728"/>
    </row>
    <row r="32" customFormat="false" ht="12.75" hidden="false" customHeight="false" outlineLevel="0" collapsed="false">
      <c r="A32" s="0" t="s">
        <v>896</v>
      </c>
      <c r="B32" s="0" t="s">
        <v>905</v>
      </c>
      <c r="N32" s="728"/>
      <c r="O32" s="728"/>
      <c r="P32" s="728"/>
    </row>
    <row r="33" customFormat="false" ht="12.75" hidden="false" customHeight="false" outlineLevel="0" collapsed="false">
      <c r="N33" s="728"/>
      <c r="O33" s="728"/>
      <c r="P33" s="728"/>
    </row>
    <row r="34" customFormat="false" ht="12.75" hidden="false" customHeight="false" outlineLevel="0" collapsed="false">
      <c r="N34" s="728"/>
      <c r="O34" s="728"/>
      <c r="P34" s="728"/>
    </row>
    <row r="35" customFormat="false" ht="12.75" hidden="false" customHeight="false" outlineLevel="0" collapsed="false">
      <c r="N35" s="728"/>
      <c r="O35" s="728"/>
      <c r="P35" s="728"/>
    </row>
    <row r="36" customFormat="false" ht="12.75" hidden="false" customHeight="false" outlineLevel="0" collapsed="false">
      <c r="N36" s="728"/>
      <c r="O36" s="728"/>
      <c r="P36" s="728"/>
    </row>
    <row r="37" customFormat="false" ht="12.75" hidden="false" customHeight="false" outlineLevel="0" collapsed="false">
      <c r="N37" s="728"/>
      <c r="O37" s="728"/>
      <c r="P37" s="728"/>
    </row>
    <row r="38" customFormat="false" ht="15.75" hidden="false" customHeight="false" outlineLevel="0" collapsed="false">
      <c r="B38" s="358" t="s">
        <v>906</v>
      </c>
    </row>
    <row r="39" customFormat="false" ht="12.75" hidden="false" customHeight="false" outlineLevel="0" collapsed="false">
      <c r="B39" s="28" t="s">
        <v>514</v>
      </c>
    </row>
    <row r="40" customFormat="false" ht="12.75" hidden="false" customHeight="false" outlineLevel="0" collapsed="false">
      <c r="B40" s="0" t="s">
        <v>122</v>
      </c>
      <c r="F40" s="438" t="s">
        <v>692</v>
      </c>
      <c r="G40" s="438"/>
      <c r="H40" s="438"/>
      <c r="I40" s="438"/>
      <c r="J40" s="438"/>
      <c r="K40" s="438"/>
      <c r="L40" s="438"/>
      <c r="M40" s="438"/>
      <c r="N40" s="438"/>
      <c r="O40" s="438"/>
      <c r="P40" s="438"/>
      <c r="Q40" s="438"/>
      <c r="R40" s="438"/>
      <c r="S40" s="438"/>
      <c r="T40" s="438"/>
      <c r="U40" s="438"/>
      <c r="V40" s="438"/>
      <c r="W40" s="438"/>
      <c r="X40" s="438"/>
      <c r="Y40" s="438"/>
    </row>
    <row r="41" customFormat="false" ht="12.75" hidden="false" customHeight="false" outlineLevel="0" collapsed="false">
      <c r="B41" s="359"/>
      <c r="C41" s="359"/>
      <c r="D41" s="360" t="n">
        <v>36599</v>
      </c>
      <c r="E41" s="359" t="s">
        <v>4</v>
      </c>
      <c r="F41" s="809" t="s">
        <v>515</v>
      </c>
      <c r="G41" s="809"/>
      <c r="H41" s="809"/>
      <c r="I41" s="809"/>
      <c r="J41" s="809" t="s">
        <v>516</v>
      </c>
      <c r="K41" s="810" t="s">
        <v>67</v>
      </c>
      <c r="L41" s="810" t="s">
        <v>907</v>
      </c>
      <c r="M41" s="810" t="s">
        <v>908</v>
      </c>
      <c r="N41" s="810" t="s">
        <v>63</v>
      </c>
      <c r="O41" s="810" t="s">
        <v>63</v>
      </c>
      <c r="P41" s="809" t="s">
        <v>61</v>
      </c>
      <c r="Q41" s="809" t="s">
        <v>61</v>
      </c>
      <c r="R41" s="811" t="s">
        <v>909</v>
      </c>
      <c r="S41" s="811" t="s">
        <v>909</v>
      </c>
      <c r="T41" s="811" t="s">
        <v>517</v>
      </c>
      <c r="U41" s="811" t="s">
        <v>517</v>
      </c>
      <c r="V41" s="438" t="s">
        <v>521</v>
      </c>
      <c r="W41" s="438" t="s">
        <v>522</v>
      </c>
      <c r="X41" s="438" t="s">
        <v>521</v>
      </c>
      <c r="Y41" s="438" t="s">
        <v>522</v>
      </c>
    </row>
    <row r="42" customFormat="false" ht="12.75" hidden="false" customHeight="false" outlineLevel="0" collapsed="false">
      <c r="B42" s="812" t="s">
        <v>910</v>
      </c>
      <c r="C42" s="364" t="s">
        <v>524</v>
      </c>
      <c r="D42" s="364" t="s">
        <v>525</v>
      </c>
      <c r="E42" s="364" t="s">
        <v>526</v>
      </c>
      <c r="F42" s="813" t="s">
        <v>6</v>
      </c>
      <c r="G42" s="813" t="s">
        <v>528</v>
      </c>
      <c r="H42" s="813" t="s">
        <v>509</v>
      </c>
      <c r="I42" s="813" t="s">
        <v>529</v>
      </c>
      <c r="J42" s="813" t="s">
        <v>6</v>
      </c>
      <c r="K42" s="814" t="n">
        <v>1998</v>
      </c>
      <c r="L42" s="814" t="n">
        <v>1999</v>
      </c>
      <c r="M42" s="814"/>
      <c r="N42" s="814" t="n">
        <v>1999</v>
      </c>
      <c r="O42" s="814" t="n">
        <v>2000</v>
      </c>
      <c r="P42" s="814" t="n">
        <v>1999</v>
      </c>
      <c r="Q42" s="814" t="n">
        <v>2000</v>
      </c>
      <c r="R42" s="814" t="n">
        <v>1999</v>
      </c>
      <c r="S42" s="814" t="n">
        <v>2000</v>
      </c>
      <c r="T42" s="814" t="n">
        <v>1999</v>
      </c>
      <c r="U42" s="814" t="n">
        <v>2000</v>
      </c>
      <c r="V42" s="815" t="n">
        <v>1999</v>
      </c>
      <c r="W42" s="815" t="n">
        <v>1999</v>
      </c>
      <c r="X42" s="815" t="n">
        <v>2000</v>
      </c>
      <c r="Y42" s="815" t="n">
        <v>2000</v>
      </c>
    </row>
    <row r="43" customFormat="false" ht="12.75" hidden="false" customHeight="false" outlineLevel="0" collapsed="false">
      <c r="B43" s="320" t="s">
        <v>532</v>
      </c>
      <c r="C43" s="359" t="s">
        <v>533</v>
      </c>
      <c r="D43" s="816" t="n">
        <v>26.875</v>
      </c>
      <c r="E43" s="670" t="n">
        <v>192</v>
      </c>
      <c r="F43" s="449" t="n">
        <f aca="false">D43*E43</f>
        <v>5160</v>
      </c>
      <c r="G43" s="670" t="n">
        <f aca="false">626+490+6542</f>
        <v>7658</v>
      </c>
      <c r="H43" s="670" t="n">
        <v>280</v>
      </c>
      <c r="I43" s="670" t="n">
        <v>174</v>
      </c>
      <c r="J43" s="449" t="n">
        <f aca="false">F43+G43-H43+I43</f>
        <v>12712</v>
      </c>
      <c r="K43" s="708" t="n">
        <v>536.183</v>
      </c>
      <c r="L43" s="324" t="n">
        <v>25.82</v>
      </c>
      <c r="M43" s="368" t="n">
        <f aca="false">D43/L43</f>
        <v>1.04085979860573</v>
      </c>
      <c r="N43" s="324" t="n">
        <v>2432</v>
      </c>
      <c r="O43" s="324" t="n">
        <v>2311.54</v>
      </c>
      <c r="P43" s="359" t="n">
        <v>3584</v>
      </c>
      <c r="Q43" s="359" t="n">
        <v>3463</v>
      </c>
      <c r="R43" s="368" t="n">
        <f aca="false">$J43/N43</f>
        <v>5.22697368421053</v>
      </c>
      <c r="S43" s="368" t="n">
        <f aca="false">$J43/O43</f>
        <v>5.49936406032342</v>
      </c>
      <c r="T43" s="368" t="n">
        <f aca="false">J43/P43</f>
        <v>3.546875</v>
      </c>
      <c r="U43" s="368" t="n">
        <f aca="false">J43/Q43</f>
        <v>3.67080565983252</v>
      </c>
      <c r="V43" s="322" t="n">
        <v>2.69</v>
      </c>
      <c r="W43" s="324" t="n">
        <f aca="false">D43/V43</f>
        <v>9.9907063197026</v>
      </c>
      <c r="X43" s="322" t="n">
        <v>2.4</v>
      </c>
      <c r="Y43" s="324" t="n">
        <f aca="false">D43/X43</f>
        <v>11.1979166666667</v>
      </c>
    </row>
    <row r="44" customFormat="false" ht="12.75" hidden="false" customHeight="false" outlineLevel="0" collapsed="false">
      <c r="B44" s="320" t="s">
        <v>534</v>
      </c>
      <c r="C44" s="359" t="s">
        <v>535</v>
      </c>
      <c r="D44" s="816" t="n">
        <v>17.9375</v>
      </c>
      <c r="E44" s="670" t="n">
        <v>229.14</v>
      </c>
      <c r="F44" s="449" t="n">
        <f aca="false">D44*E44</f>
        <v>4110.19875</v>
      </c>
      <c r="G44" s="670" t="n">
        <f aca="false">841.513+265.734+6335.289</f>
        <v>7442.536</v>
      </c>
      <c r="H44" s="670" t="n">
        <v>45.612</v>
      </c>
      <c r="I44" s="670" t="n">
        <f aca="false">660.195+174.71+120</f>
        <v>954.905</v>
      </c>
      <c r="J44" s="449" t="n">
        <f aca="false">F44+G44-H44+I44</f>
        <v>12462.02775</v>
      </c>
      <c r="K44" s="708" t="n">
        <v>441.396</v>
      </c>
      <c r="L44" s="370" t="n">
        <v>20.22</v>
      </c>
      <c r="M44" s="368" t="n">
        <f aca="false">D44/L44</f>
        <v>0.887116716122651</v>
      </c>
      <c r="N44" s="370" t="n">
        <v>1435</v>
      </c>
      <c r="O44" s="370" t="n">
        <v>1450</v>
      </c>
      <c r="P44" s="359" t="n">
        <v>2385</v>
      </c>
      <c r="Q44" s="359" t="n">
        <v>2520</v>
      </c>
      <c r="R44" s="368" t="n">
        <f aca="false">$J44/N44</f>
        <v>8.68433989547038</v>
      </c>
      <c r="S44" s="368" t="n">
        <f aca="false">$J44/O44</f>
        <v>8.59450189655173</v>
      </c>
      <c r="T44" s="368" t="n">
        <f aca="false">J44/P44</f>
        <v>5.22516886792453</v>
      </c>
      <c r="U44" s="368" t="n">
        <f aca="false">J44/Q44</f>
        <v>4.94524910714286</v>
      </c>
      <c r="V44" s="322" t="n">
        <v>2.5</v>
      </c>
      <c r="W44" s="324" t="n">
        <f aca="false">D44/V44</f>
        <v>7.175</v>
      </c>
      <c r="X44" s="322" t="n">
        <v>2.65</v>
      </c>
      <c r="Y44" s="324" t="n">
        <f aca="false">D44/X44</f>
        <v>6.7688679245283</v>
      </c>
    </row>
    <row r="45" customFormat="false" ht="12.75" hidden="false" customHeight="false" outlineLevel="0" collapsed="false">
      <c r="B45" s="320" t="s">
        <v>542</v>
      </c>
      <c r="C45" s="359" t="s">
        <v>543</v>
      </c>
      <c r="D45" s="816" t="n">
        <v>21.25</v>
      </c>
      <c r="E45" s="670" t="n">
        <f aca="false">209.789/0.74</f>
        <v>283.498648648649</v>
      </c>
      <c r="F45" s="449" t="n">
        <f aca="false">D45*E45</f>
        <v>6024.34628378378</v>
      </c>
      <c r="G45" s="670" t="n">
        <f aca="false">6973.697+375.497</f>
        <v>7349.194</v>
      </c>
      <c r="H45" s="670" t="n">
        <v>83.795</v>
      </c>
      <c r="I45" s="670" t="n">
        <f aca="false">717.268+9.74</f>
        <v>727.008</v>
      </c>
      <c r="J45" s="449" t="n">
        <f aca="false">F45+G45-H45+I45</f>
        <v>14016.7532837838</v>
      </c>
      <c r="K45" s="817" t="n">
        <f aca="false">-141.092</f>
        <v>-141.092</v>
      </c>
      <c r="L45" s="372" t="n">
        <v>15.16</v>
      </c>
      <c r="M45" s="368" t="n">
        <f aca="false">D45/L45</f>
        <v>1.40171503957784</v>
      </c>
      <c r="N45" s="372" t="n">
        <v>1429</v>
      </c>
      <c r="O45" s="372" t="n">
        <v>1499</v>
      </c>
      <c r="P45" s="359" t="n">
        <v>2292</v>
      </c>
      <c r="Q45" s="359" t="n">
        <v>2389</v>
      </c>
      <c r="R45" s="368" t="n">
        <f aca="false">$J45/N45</f>
        <v>9.80878466324967</v>
      </c>
      <c r="S45" s="368" t="n">
        <f aca="false">$J45/O45</f>
        <v>9.35073601319799</v>
      </c>
      <c r="T45" s="368" t="n">
        <f aca="false">J45/P45</f>
        <v>6.11551190391963</v>
      </c>
      <c r="U45" s="368" t="n">
        <f aca="false">J45/Q45</f>
        <v>5.86720522552691</v>
      </c>
      <c r="V45" s="322" t="n">
        <v>2.09</v>
      </c>
      <c r="W45" s="324" t="n">
        <f aca="false">D45/V45</f>
        <v>10.1674641148325</v>
      </c>
      <c r="X45" s="322" t="n">
        <v>2.37</v>
      </c>
      <c r="Y45" s="324" t="n">
        <f aca="false">D45/X45</f>
        <v>8.9662447257384</v>
      </c>
    </row>
    <row r="46" customFormat="false" ht="12.75" hidden="false" customHeight="false" outlineLevel="0" collapsed="false">
      <c r="B46" s="320" t="s">
        <v>544</v>
      </c>
      <c r="C46" s="359" t="s">
        <v>545</v>
      </c>
      <c r="D46" s="816" t="n">
        <f aca="false">20.5625</f>
        <v>20.5625</v>
      </c>
      <c r="E46" s="670" t="n">
        <v>698.527</v>
      </c>
      <c r="F46" s="449" t="n">
        <f aca="false">D46*E46</f>
        <v>14363.4614375</v>
      </c>
      <c r="G46" s="670" t="n">
        <f aca="false">9952.508+1136.05</f>
        <v>11088.558</v>
      </c>
      <c r="H46" s="670" t="n">
        <v>554.095</v>
      </c>
      <c r="I46" s="670" t="n">
        <f aca="false">369.061+2426.965</f>
        <v>2796.026</v>
      </c>
      <c r="J46" s="449" t="n">
        <f aca="false">F46+G46-H46+I46</f>
        <v>27693.9504375</v>
      </c>
      <c r="K46" s="708" t="n">
        <v>977</v>
      </c>
      <c r="L46" s="370" t="n">
        <v>14.04</v>
      </c>
      <c r="M46" s="368" t="n">
        <f aca="false">D46/L46</f>
        <v>1.46456552706553</v>
      </c>
      <c r="N46" s="370" t="n">
        <v>2965.89</v>
      </c>
      <c r="O46" s="370" t="n">
        <v>3175.36</v>
      </c>
      <c r="P46" s="359" t="n">
        <v>4234</v>
      </c>
      <c r="Q46" s="359" t="n">
        <v>4535.08</v>
      </c>
      <c r="R46" s="368" t="n">
        <f aca="false">$J46/N46</f>
        <v>9.33748400564418</v>
      </c>
      <c r="S46" s="368" t="n">
        <f aca="false">$J46/O46</f>
        <v>8.72151517859392</v>
      </c>
      <c r="T46" s="368" t="n">
        <f aca="false">J46/P46</f>
        <v>6.54084800129901</v>
      </c>
      <c r="U46" s="368" t="n">
        <f aca="false">J46/Q46</f>
        <v>6.10660681564603</v>
      </c>
      <c r="V46" s="322" t="n">
        <v>1.9</v>
      </c>
      <c r="W46" s="324" t="n">
        <f aca="false">D46/V46</f>
        <v>10.8223684210526</v>
      </c>
      <c r="X46" s="322" t="n">
        <v>2.05</v>
      </c>
      <c r="Y46" s="324" t="n">
        <f aca="false">D46/X46</f>
        <v>10.0304878048781</v>
      </c>
    </row>
    <row r="47" customFormat="false" ht="12.75" hidden="false" customHeight="false" outlineLevel="0" collapsed="false">
      <c r="B47" s="320" t="s">
        <v>546</v>
      </c>
      <c r="C47" s="359" t="s">
        <v>547</v>
      </c>
      <c r="D47" s="816" t="n">
        <v>26.8125</v>
      </c>
      <c r="E47" s="670" t="n">
        <v>282</v>
      </c>
      <c r="F47" s="449" t="n">
        <f aca="false">D47*E47</f>
        <v>7561.125</v>
      </c>
      <c r="G47" s="670" t="n">
        <f aca="false">16486+1072</f>
        <v>17558</v>
      </c>
      <c r="H47" s="670" t="n">
        <v>750</v>
      </c>
      <c r="I47" s="670" t="n">
        <f aca="false">190+21+1193</f>
        <v>1404</v>
      </c>
      <c r="J47" s="449" t="n">
        <f aca="false">F47+G47-H47+I47</f>
        <v>25773.125</v>
      </c>
      <c r="K47" s="708" t="n">
        <v>740</v>
      </c>
      <c r="L47" s="370" t="n">
        <v>29.99</v>
      </c>
      <c r="M47" s="368" t="n">
        <f aca="false">D47/L47</f>
        <v>0.894048016005335</v>
      </c>
      <c r="N47" s="370" t="n">
        <v>2865</v>
      </c>
      <c r="O47" s="370" t="n">
        <v>2906</v>
      </c>
      <c r="P47" s="359" t="n">
        <v>4182</v>
      </c>
      <c r="Q47" s="359" t="n">
        <v>4331</v>
      </c>
      <c r="R47" s="368" t="n">
        <f aca="false">$J47/N47</f>
        <v>8.99585514834206</v>
      </c>
      <c r="S47" s="368" t="n">
        <f aca="false">$J47/O47</f>
        <v>8.86893496214728</v>
      </c>
      <c r="T47" s="368" t="n">
        <f aca="false">J47/P47</f>
        <v>6.1628706360593</v>
      </c>
      <c r="U47" s="368" t="n">
        <f aca="false">J47/Q47</f>
        <v>5.95084853382591</v>
      </c>
      <c r="V47" s="322" t="n">
        <v>3.19</v>
      </c>
      <c r="W47" s="324" t="n">
        <f aca="false">D47/V47</f>
        <v>8.4051724137931</v>
      </c>
      <c r="X47" s="322" t="n">
        <v>3.4</v>
      </c>
      <c r="Y47" s="324" t="n">
        <f aca="false">D47/X47</f>
        <v>7.88602941176471</v>
      </c>
    </row>
    <row r="48" customFormat="false" ht="12.75" hidden="false" customHeight="false" outlineLevel="0" collapsed="false">
      <c r="B48" s="321" t="s">
        <v>911</v>
      </c>
      <c r="C48" s="363" t="s">
        <v>912</v>
      </c>
      <c r="D48" s="816" t="n">
        <v>17.3125</v>
      </c>
      <c r="E48" s="436" t="n">
        <v>117.2</v>
      </c>
      <c r="F48" s="449" t="n">
        <f aca="false">D48*E48</f>
        <v>2029.025</v>
      </c>
      <c r="G48" s="670" t="n">
        <f aca="false">2230.43039+40.131</f>
        <v>2270.56139</v>
      </c>
      <c r="H48" s="670" t="n">
        <v>40.131</v>
      </c>
      <c r="I48" s="670" t="n">
        <v>200</v>
      </c>
      <c r="J48" s="449" t="n">
        <f aca="false">F48+G48-H48+I48</f>
        <v>4459.45539</v>
      </c>
      <c r="K48" s="708" t="n">
        <v>209</v>
      </c>
      <c r="L48" s="0" t="n">
        <v>16.92</v>
      </c>
      <c r="M48" s="368" t="n">
        <f aca="false">D48/L48</f>
        <v>1.02319739952719</v>
      </c>
      <c r="N48" s="0" t="n">
        <v>556.9</v>
      </c>
      <c r="O48" s="0" t="n">
        <v>605.8</v>
      </c>
      <c r="P48" s="0" t="n">
        <v>807.2</v>
      </c>
      <c r="Q48" s="0" t="n">
        <v>871.1</v>
      </c>
      <c r="R48" s="368" t="n">
        <f aca="false">$J48/N48</f>
        <v>8.00764121027114</v>
      </c>
      <c r="S48" s="368" t="n">
        <f aca="false">$J48/O48</f>
        <v>7.36126673819743</v>
      </c>
      <c r="T48" s="368" t="n">
        <f aca="false">J48/P48</f>
        <v>5.5245978567889</v>
      </c>
      <c r="U48" s="368" t="n">
        <f aca="false">J48/Q48</f>
        <v>5.11933806681208</v>
      </c>
      <c r="V48" s="0" t="n">
        <v>1.96</v>
      </c>
      <c r="W48" s="324" t="n">
        <f aca="false">D48/V48</f>
        <v>8.83290816326531</v>
      </c>
      <c r="X48" s="0" t="n">
        <v>2.13</v>
      </c>
      <c r="Y48" s="324" t="n">
        <f aca="false">D48/X48</f>
        <v>8.12793427230047</v>
      </c>
    </row>
    <row r="49" customFormat="false" ht="12.75" hidden="false" customHeight="false" outlineLevel="0" collapsed="false">
      <c r="B49" s="359"/>
      <c r="C49" s="359"/>
      <c r="D49" s="367"/>
      <c r="E49" s="359"/>
      <c r="F49" s="359"/>
      <c r="G49" s="359"/>
      <c r="H49" s="359"/>
      <c r="I49" s="359"/>
      <c r="J49" s="359"/>
      <c r="K49" s="324"/>
      <c r="L49" s="324"/>
      <c r="M49" s="324"/>
      <c r="N49" s="324"/>
      <c r="O49" s="324"/>
      <c r="P49" s="359"/>
      <c r="Q49" s="359"/>
      <c r="R49" s="368"/>
      <c r="S49" s="368"/>
      <c r="T49" s="368"/>
      <c r="U49" s="368"/>
      <c r="V49" s="324"/>
      <c r="W49" s="324"/>
      <c r="X49" s="324"/>
      <c r="Y49" s="324"/>
    </row>
    <row r="50" customFormat="false" ht="12.75" hidden="false" customHeight="false" outlineLevel="0" collapsed="false">
      <c r="B50" s="359"/>
      <c r="C50" s="359"/>
      <c r="D50" s="367"/>
      <c r="E50" s="359"/>
      <c r="F50" s="359"/>
      <c r="G50" s="359"/>
      <c r="H50" s="359"/>
      <c r="I50" s="359"/>
      <c r="J50" s="359"/>
      <c r="K50" s="324"/>
      <c r="L50" s="818" t="s">
        <v>879</v>
      </c>
      <c r="M50" s="819" t="n">
        <f aca="false">AVERAGE(M43:M48)</f>
        <v>1.11858374948404</v>
      </c>
      <c r="N50" s="820"/>
      <c r="O50" s="820"/>
      <c r="P50" s="821"/>
      <c r="Q50" s="799"/>
      <c r="R50" s="819" t="n">
        <f aca="false">AVERAGE(R43:R48)</f>
        <v>8.34351310119799</v>
      </c>
      <c r="S50" s="819" t="n">
        <f aca="false">AVERAGE(S43:S48)</f>
        <v>8.06605314150196</v>
      </c>
      <c r="T50" s="819" t="n">
        <f aca="false">AVERAGE(T43:T48)</f>
        <v>5.51931204433189</v>
      </c>
      <c r="U50" s="819" t="n">
        <f aca="false">AVERAGE(U43:U48)</f>
        <v>5.27667556813105</v>
      </c>
      <c r="V50" s="820"/>
      <c r="W50" s="819" t="n">
        <f aca="false">AVERAGE(W43:W48)</f>
        <v>9.23226990544103</v>
      </c>
      <c r="X50" s="820"/>
      <c r="Y50" s="822" t="n">
        <f aca="false">AVERAGE(Y43:Y48)</f>
        <v>8.82958013431277</v>
      </c>
    </row>
    <row r="51" customFormat="false" ht="12.75" hidden="false" customHeight="false" outlineLevel="0" collapsed="false">
      <c r="B51" s="359"/>
      <c r="C51" s="359"/>
      <c r="D51" s="367"/>
      <c r="E51" s="359"/>
      <c r="F51" s="359"/>
      <c r="G51" s="359"/>
      <c r="H51" s="359"/>
      <c r="I51" s="359"/>
      <c r="J51" s="359"/>
      <c r="K51" s="324"/>
      <c r="L51" s="823" t="s">
        <v>553</v>
      </c>
      <c r="M51" s="824" t="n">
        <f aca="false">MEDIAN(M43:M48)</f>
        <v>1.03202859906646</v>
      </c>
      <c r="N51" s="370"/>
      <c r="O51" s="370"/>
      <c r="P51" s="362"/>
      <c r="Q51" s="667"/>
      <c r="R51" s="824" t="n">
        <f aca="false">MEDIAN(R43:R48)</f>
        <v>8.84009752190622</v>
      </c>
      <c r="S51" s="824" t="n">
        <f aca="false">MEDIAN(S43:S48)</f>
        <v>8.65800853757282</v>
      </c>
      <c r="T51" s="824" t="n">
        <f aca="false">MEDIAN(T43:T48)</f>
        <v>5.82005488035426</v>
      </c>
      <c r="U51" s="824" t="n">
        <f aca="false">MEDIAN(U43:U48)</f>
        <v>5.49327164616949</v>
      </c>
      <c r="V51" s="370"/>
      <c r="W51" s="824" t="n">
        <f aca="false">MEDIAN(W43:W48)</f>
        <v>9.41180724148395</v>
      </c>
      <c r="X51" s="370"/>
      <c r="Y51" s="825" t="n">
        <f aca="false">MEDIAN(Y43:Y48)</f>
        <v>8.54708949901943</v>
      </c>
    </row>
    <row r="52" customFormat="false" ht="12.75" hidden="false" customHeight="false" outlineLevel="0" collapsed="false">
      <c r="B52" s="359"/>
      <c r="C52" s="359"/>
      <c r="D52" s="367"/>
      <c r="E52" s="359"/>
      <c r="F52" s="359"/>
      <c r="G52" s="359"/>
      <c r="H52" s="359"/>
      <c r="I52" s="359"/>
      <c r="J52" s="359"/>
      <c r="K52" s="324"/>
      <c r="L52" s="823" t="s">
        <v>288</v>
      </c>
      <c r="M52" s="824" t="n">
        <f aca="false">MAX(M43:M48)</f>
        <v>1.46456552706553</v>
      </c>
      <c r="N52" s="370"/>
      <c r="O52" s="370"/>
      <c r="P52" s="362"/>
      <c r="Q52" s="667"/>
      <c r="R52" s="824" t="n">
        <f aca="false">MAX(R43:R48)</f>
        <v>9.80878466324967</v>
      </c>
      <c r="S52" s="824" t="n">
        <f aca="false">MAX(S43:S48)</f>
        <v>9.35073601319799</v>
      </c>
      <c r="T52" s="824" t="n">
        <f aca="false">MAX(T43:T48)</f>
        <v>6.54084800129901</v>
      </c>
      <c r="U52" s="824" t="n">
        <f aca="false">MAX(U43:U48)</f>
        <v>6.10660681564603</v>
      </c>
      <c r="V52" s="370"/>
      <c r="W52" s="824" t="n">
        <f aca="false">MAX(W43:W48)</f>
        <v>10.8223684210526</v>
      </c>
      <c r="X52" s="370"/>
      <c r="Y52" s="825" t="n">
        <f aca="false">MAX(Y43:Y48)</f>
        <v>11.1979166666667</v>
      </c>
    </row>
    <row r="53" customFormat="false" ht="12.75" hidden="false" customHeight="false" outlineLevel="0" collapsed="false">
      <c r="B53" s="359"/>
      <c r="C53" s="359"/>
      <c r="D53" s="367"/>
      <c r="E53" s="359"/>
      <c r="F53" s="359"/>
      <c r="G53" s="359"/>
      <c r="H53" s="359"/>
      <c r="I53" s="359"/>
      <c r="J53" s="359"/>
      <c r="K53" s="324"/>
      <c r="L53" s="826" t="s">
        <v>345</v>
      </c>
      <c r="M53" s="827" t="n">
        <f aca="false">MIN(M43:M48)</f>
        <v>0.887116716122651</v>
      </c>
      <c r="N53" s="774"/>
      <c r="O53" s="774"/>
      <c r="P53" s="364"/>
      <c r="Q53" s="366"/>
      <c r="R53" s="827" t="n">
        <f aca="false">MIN(R43:R48)</f>
        <v>5.22697368421053</v>
      </c>
      <c r="S53" s="827" t="n">
        <f aca="false">MIN(S43:S48)</f>
        <v>5.49936406032342</v>
      </c>
      <c r="T53" s="827" t="n">
        <f aca="false">MIN(T43:T48)</f>
        <v>3.546875</v>
      </c>
      <c r="U53" s="827" t="n">
        <f aca="false">MIN(U43:U48)</f>
        <v>3.67080565983252</v>
      </c>
      <c r="V53" s="774"/>
      <c r="W53" s="827" t="n">
        <f aca="false">MIN(W43:W48)</f>
        <v>7.175</v>
      </c>
      <c r="X53" s="774"/>
      <c r="Y53" s="828" t="n">
        <f aca="false">MIN(Y43:Y48)</f>
        <v>6.7688679245283</v>
      </c>
    </row>
    <row r="54" customFormat="false" ht="12.75" hidden="false" customHeight="false" outlineLevel="0" collapsed="false">
      <c r="N54" s="728"/>
      <c r="O54" s="728"/>
      <c r="P54" s="728"/>
    </row>
    <row r="55" customFormat="false" ht="12.75" hidden="false" customHeight="false" outlineLevel="0" collapsed="false">
      <c r="N55" s="728"/>
      <c r="O55" s="728"/>
      <c r="P55" s="728"/>
    </row>
    <row r="56" customFormat="false" ht="12.75" hidden="false" customHeight="false" outlineLevel="0" collapsed="false">
      <c r="N56" s="728"/>
      <c r="O56" s="728"/>
      <c r="P56" s="728"/>
    </row>
    <row r="57" customFormat="false" ht="12.75" hidden="false" customHeight="false" outlineLevel="0" collapsed="false">
      <c r="N57" s="728"/>
      <c r="O57" s="728"/>
      <c r="P57" s="728"/>
    </row>
    <row r="58" customFormat="false" ht="12.75" hidden="false" customHeight="false" outlineLevel="0" collapsed="false">
      <c r="N58" s="728"/>
      <c r="O58" s="728"/>
      <c r="P58" s="728"/>
    </row>
    <row r="59" customFormat="false" ht="12.75" hidden="false" customHeight="false" outlineLevel="0" collapsed="false">
      <c r="N59" s="728"/>
      <c r="O59" s="728"/>
      <c r="P59" s="728"/>
    </row>
    <row r="60" customFormat="false" ht="12.75" hidden="false" customHeight="false" outlineLevel="0" collapsed="false">
      <c r="N60" s="728"/>
      <c r="O60" s="728"/>
      <c r="P60" s="728"/>
    </row>
    <row r="61" customFormat="false" ht="12.75" hidden="false" customHeight="false" outlineLevel="0" collapsed="false">
      <c r="N61" s="728"/>
      <c r="O61" s="728"/>
      <c r="P61" s="728"/>
    </row>
    <row r="62" customFormat="false" ht="12.75" hidden="false" customHeight="false" outlineLevel="0" collapsed="false">
      <c r="N62" s="728"/>
      <c r="O62" s="728"/>
      <c r="P62" s="728"/>
    </row>
    <row r="63" customFormat="false" ht="12.75" hidden="false" customHeight="false" outlineLevel="0" collapsed="false">
      <c r="N63" s="728"/>
      <c r="O63" s="728"/>
      <c r="P63" s="728"/>
    </row>
    <row r="64" customFormat="false" ht="12.75" hidden="false" customHeight="false" outlineLevel="0" collapsed="false">
      <c r="N64" s="728"/>
      <c r="O64" s="728"/>
      <c r="P64" s="728"/>
    </row>
    <row r="65" customFormat="false" ht="12.75" hidden="false" customHeight="false" outlineLevel="0" collapsed="false">
      <c r="N65" s="728"/>
      <c r="O65" s="728"/>
      <c r="P65" s="728"/>
    </row>
    <row r="66" customFormat="false" ht="12.75" hidden="false" customHeight="false" outlineLevel="0" collapsed="false">
      <c r="N66" s="728"/>
      <c r="O66" s="728"/>
      <c r="P66" s="728"/>
    </row>
    <row r="67" customFormat="false" ht="12.75" hidden="false" customHeight="false" outlineLevel="0" collapsed="false">
      <c r="N67" s="728"/>
      <c r="O67" s="728"/>
      <c r="P67" s="728"/>
    </row>
    <row r="68" customFormat="false" ht="12.75" hidden="false" customHeight="false" outlineLevel="0" collapsed="false">
      <c r="N68" s="728"/>
      <c r="O68" s="728"/>
      <c r="P68" s="728"/>
    </row>
    <row r="69" customFormat="false" ht="12.75" hidden="false" customHeight="false" outlineLevel="0" collapsed="false">
      <c r="N69" s="728"/>
      <c r="O69" s="728"/>
      <c r="P69" s="728"/>
    </row>
    <row r="70" customFormat="false" ht="12.75" hidden="false" customHeight="false" outlineLevel="0" collapsed="false">
      <c r="N70" s="728"/>
      <c r="O70" s="728"/>
      <c r="P70" s="728"/>
    </row>
    <row r="71" customFormat="false" ht="12.75" hidden="false" customHeight="false" outlineLevel="0" collapsed="false">
      <c r="N71" s="728"/>
      <c r="O71" s="728"/>
      <c r="P71" s="728"/>
    </row>
    <row r="72" customFormat="false" ht="12.75" hidden="false" customHeight="false" outlineLevel="0" collapsed="false">
      <c r="N72" s="728"/>
      <c r="O72" s="728"/>
      <c r="P72" s="728"/>
    </row>
    <row r="73" customFormat="false" ht="12.75" hidden="false" customHeight="false" outlineLevel="0" collapsed="false">
      <c r="N73" s="728"/>
      <c r="O73" s="728"/>
      <c r="P73" s="728"/>
    </row>
    <row r="74" customFormat="false" ht="12.75" hidden="false" customHeight="false" outlineLevel="0" collapsed="false">
      <c r="N74" s="728"/>
      <c r="O74" s="728"/>
      <c r="P74" s="728"/>
    </row>
    <row r="75" customFormat="false" ht="12.75" hidden="false" customHeight="false" outlineLevel="0" collapsed="false">
      <c r="N75" s="728"/>
      <c r="O75" s="728"/>
      <c r="P75" s="728"/>
    </row>
    <row r="76" customFormat="false" ht="12.75" hidden="false" customHeight="false" outlineLevel="0" collapsed="false">
      <c r="N76" s="728"/>
      <c r="O76" s="728"/>
      <c r="P76" s="728"/>
    </row>
    <row r="77" customFormat="false" ht="12.75" hidden="false" customHeight="false" outlineLevel="0" collapsed="false">
      <c r="N77" s="728"/>
      <c r="O77" s="728"/>
      <c r="P77" s="728"/>
    </row>
    <row r="78" customFormat="false" ht="12.75" hidden="false" customHeight="false" outlineLevel="0" collapsed="false">
      <c r="N78" s="728"/>
      <c r="O78" s="728"/>
      <c r="P78" s="728"/>
    </row>
    <row r="79" customFormat="false" ht="12.75" hidden="false" customHeight="false" outlineLevel="0" collapsed="false">
      <c r="N79" s="728"/>
      <c r="O79" s="728"/>
      <c r="P79" s="728"/>
    </row>
    <row r="80" customFormat="false" ht="12.75" hidden="false" customHeight="false" outlineLevel="0" collapsed="false">
      <c r="N80" s="728"/>
      <c r="O80" s="728"/>
      <c r="P80" s="728"/>
    </row>
    <row r="81" customFormat="false" ht="12.75" hidden="false" customHeight="false" outlineLevel="0" collapsed="false">
      <c r="N81" s="797"/>
      <c r="O81" s="797"/>
      <c r="P81" s="797"/>
    </row>
    <row r="82" customFormat="false" ht="12.75" hidden="false" customHeight="false" outlineLevel="0" collapsed="false">
      <c r="N82" s="797"/>
      <c r="O82" s="797"/>
      <c r="P82" s="797"/>
    </row>
    <row r="83" customFormat="false" ht="12.75" hidden="false" customHeight="false" outlineLevel="0" collapsed="false">
      <c r="N83" s="797"/>
      <c r="O83" s="797"/>
      <c r="P83" s="797"/>
    </row>
    <row r="84" customFormat="false" ht="12.75" hidden="false" customHeight="false" outlineLevel="0" collapsed="false">
      <c r="N84" s="797"/>
      <c r="O84" s="797"/>
      <c r="P84" s="797"/>
    </row>
    <row r="85" customFormat="false" ht="12.75" hidden="false" customHeight="false" outlineLevel="0" collapsed="false">
      <c r="N85" s="797"/>
      <c r="O85" s="797"/>
      <c r="P85" s="797"/>
    </row>
    <row r="86" customFormat="false" ht="12.75" hidden="false" customHeight="false" outlineLevel="0" collapsed="false">
      <c r="N86" s="797"/>
      <c r="O86" s="797"/>
      <c r="P86" s="797"/>
    </row>
    <row r="87" customFormat="false" ht="12.75" hidden="false" customHeight="false" outlineLevel="0" collapsed="false">
      <c r="N87" s="797"/>
      <c r="O87" s="797"/>
      <c r="P87" s="797"/>
    </row>
    <row r="88" customFormat="false" ht="12.75" hidden="false" customHeight="false" outlineLevel="0" collapsed="false">
      <c r="N88" s="797"/>
      <c r="O88" s="797"/>
      <c r="P88" s="797"/>
    </row>
    <row r="89" customFormat="false" ht="12.75" hidden="false" customHeight="false" outlineLevel="0" collapsed="false">
      <c r="N89" s="797"/>
      <c r="O89" s="797"/>
      <c r="P89" s="797"/>
    </row>
    <row r="90" customFormat="false" ht="12.75" hidden="false" customHeight="false" outlineLevel="0" collapsed="false">
      <c r="N90" s="797"/>
      <c r="O90" s="797"/>
      <c r="P90" s="797"/>
    </row>
    <row r="91" customFormat="false" ht="12.75" hidden="false" customHeight="false" outlineLevel="0" collapsed="false">
      <c r="N91" s="797"/>
      <c r="O91" s="797"/>
      <c r="P91" s="797"/>
    </row>
    <row r="92" customFormat="false" ht="12.75" hidden="false" customHeight="false" outlineLevel="0" collapsed="false">
      <c r="N92" s="797"/>
      <c r="O92" s="797"/>
      <c r="P92" s="797"/>
    </row>
    <row r="93" customFormat="false" ht="12.75" hidden="false" customHeight="false" outlineLevel="0" collapsed="false">
      <c r="N93" s="797"/>
      <c r="O93" s="797"/>
      <c r="P93" s="797"/>
    </row>
    <row r="94" customFormat="false" ht="12.75" hidden="false" customHeight="false" outlineLevel="0" collapsed="false">
      <c r="N94" s="797"/>
      <c r="O94" s="797"/>
      <c r="P94" s="797"/>
    </row>
    <row r="95" customFormat="false" ht="12.75" hidden="false" customHeight="false" outlineLevel="0" collapsed="false">
      <c r="N95" s="797"/>
      <c r="O95" s="797"/>
      <c r="P95" s="797"/>
    </row>
    <row r="96" customFormat="false" ht="12.75" hidden="false" customHeight="false" outlineLevel="0" collapsed="false">
      <c r="N96" s="797"/>
      <c r="O96" s="797"/>
      <c r="P96" s="797"/>
    </row>
    <row r="97" customFormat="false" ht="12.75" hidden="false" customHeight="false" outlineLevel="0" collapsed="false">
      <c r="N97" s="797"/>
      <c r="O97" s="797"/>
      <c r="P97" s="797"/>
    </row>
    <row r="98" customFormat="false" ht="12.75" hidden="false" customHeight="false" outlineLevel="0" collapsed="false">
      <c r="N98" s="797"/>
      <c r="O98" s="797"/>
      <c r="P98" s="797"/>
    </row>
    <row r="99" customFormat="false" ht="12.75" hidden="false" customHeight="false" outlineLevel="0" collapsed="false">
      <c r="N99" s="797"/>
      <c r="O99" s="797"/>
      <c r="P99" s="797"/>
    </row>
    <row r="100" customFormat="false" ht="12.75" hidden="false" customHeight="false" outlineLevel="0" collapsed="false">
      <c r="N100" s="797"/>
      <c r="O100" s="797"/>
      <c r="P100" s="797"/>
    </row>
    <row r="101" customFormat="false" ht="12.75" hidden="false" customHeight="false" outlineLevel="0" collapsed="false">
      <c r="N101" s="797"/>
      <c r="O101" s="797"/>
      <c r="P101" s="797"/>
    </row>
    <row r="102" customFormat="false" ht="12.75" hidden="false" customHeight="false" outlineLevel="0" collapsed="false">
      <c r="N102" s="797"/>
      <c r="O102" s="797"/>
      <c r="P102" s="797"/>
    </row>
    <row r="103" customFormat="false" ht="12.75" hidden="false" customHeight="false" outlineLevel="0" collapsed="false">
      <c r="N103" s="797"/>
      <c r="O103" s="797"/>
      <c r="P103" s="797"/>
    </row>
    <row r="104" customFormat="false" ht="12.75" hidden="false" customHeight="false" outlineLevel="0" collapsed="false">
      <c r="N104" s="797"/>
      <c r="O104" s="797"/>
      <c r="P104" s="797"/>
    </row>
    <row r="105" customFormat="false" ht="12.75" hidden="false" customHeight="false" outlineLevel="0" collapsed="false">
      <c r="N105" s="797"/>
      <c r="O105" s="797"/>
      <c r="P105" s="797"/>
    </row>
    <row r="106" customFormat="false" ht="12.75" hidden="false" customHeight="false" outlineLevel="0" collapsed="false">
      <c r="N106" s="797"/>
      <c r="O106" s="797"/>
      <c r="P106" s="797"/>
    </row>
    <row r="107" customFormat="false" ht="12.75" hidden="false" customHeight="false" outlineLevel="0" collapsed="false">
      <c r="N107" s="797"/>
      <c r="O107" s="797"/>
      <c r="P107" s="797"/>
    </row>
    <row r="108" customFormat="false" ht="12.75" hidden="false" customHeight="false" outlineLevel="0" collapsed="false">
      <c r="N108" s="797"/>
      <c r="O108" s="797"/>
      <c r="P108" s="797"/>
    </row>
    <row r="109" customFormat="false" ht="12.75" hidden="false" customHeight="false" outlineLevel="0" collapsed="false">
      <c r="N109" s="797"/>
      <c r="O109" s="797"/>
      <c r="P109" s="797"/>
    </row>
    <row r="110" customFormat="false" ht="12.75" hidden="false" customHeight="false" outlineLevel="0" collapsed="false">
      <c r="N110" s="797"/>
      <c r="O110" s="797"/>
      <c r="P110" s="797"/>
    </row>
    <row r="111" customFormat="false" ht="12.75" hidden="false" customHeight="false" outlineLevel="0" collapsed="false">
      <c r="N111" s="797"/>
      <c r="O111" s="797"/>
      <c r="P111" s="797"/>
    </row>
    <row r="112" customFormat="false" ht="12.75" hidden="false" customHeight="false" outlineLevel="0" collapsed="false">
      <c r="N112" s="797"/>
      <c r="O112" s="797"/>
      <c r="P112" s="7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49" activeCellId="0" sqref="D48: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3.85"/>
    <col collapsed="false" customWidth="true" hidden="false" outlineLevel="0" max="3" min="3" style="0" width="11.99"/>
    <col collapsed="false" customWidth="true" hidden="false" outlineLevel="0" max="4" min="4" style="0" width="13.41"/>
    <col collapsed="false" customWidth="true" hidden="false" outlineLevel="0" max="5" min="5" style="0" width="14.85"/>
    <col collapsed="false" customWidth="true" hidden="false" outlineLevel="0" max="6" min="6" style="0" width="12.7"/>
    <col collapsed="false" customWidth="true" hidden="false" outlineLevel="0" max="7" min="7" style="0" width="12.56"/>
    <col collapsed="false" customWidth="true" hidden="false" outlineLevel="0" max="8" min="8" style="0" width="12.14"/>
    <col collapsed="false" customWidth="true" hidden="false" outlineLevel="0" max="9" min="9" style="0" width="10.56"/>
    <col collapsed="false" customWidth="true" hidden="false" outlineLevel="0" max="10" min="10" style="0" width="10.28"/>
  </cols>
  <sheetData>
    <row r="2" customFormat="false" ht="13.5" hidden="false" customHeight="false" outlineLevel="0" collapsed="false">
      <c r="B2" s="829"/>
      <c r="C2" s="829"/>
      <c r="D2" s="829"/>
      <c r="E2" s="829"/>
      <c r="F2" s="829"/>
      <c r="G2" s="829"/>
      <c r="H2" s="829"/>
      <c r="I2" s="829"/>
      <c r="J2" s="829"/>
      <c r="K2" s="667"/>
    </row>
    <row r="3" customFormat="false" ht="17.25" hidden="false" customHeight="false" outlineLevel="0" collapsed="false">
      <c r="A3" s="830" t="s">
        <v>913</v>
      </c>
      <c r="B3" s="831"/>
      <c r="C3" s="831"/>
      <c r="D3" s="831"/>
      <c r="E3" s="831"/>
      <c r="F3" s="425"/>
      <c r="G3" s="425"/>
      <c r="H3" s="425"/>
      <c r="I3" s="425"/>
      <c r="J3" s="425"/>
      <c r="K3" s="667"/>
    </row>
    <row r="4" customFormat="false" ht="15.75" hidden="false" customHeight="false" outlineLevel="0" collapsed="false">
      <c r="B4" s="667"/>
      <c r="C4" s="667"/>
      <c r="D4" s="667"/>
      <c r="E4" s="667"/>
      <c r="F4" s="667"/>
      <c r="G4" s="667"/>
      <c r="H4" s="667"/>
      <c r="I4" s="667"/>
      <c r="J4" s="425"/>
      <c r="K4" s="667"/>
    </row>
    <row r="5" customFormat="false" ht="15.75" hidden="false" customHeight="false" outlineLevel="0" collapsed="false">
      <c r="A5" s="344"/>
      <c r="B5" s="425" t="s">
        <v>914</v>
      </c>
      <c r="C5" s="425"/>
      <c r="D5" s="425"/>
      <c r="E5" s="425"/>
      <c r="F5" s="425"/>
      <c r="G5" s="832" t="s">
        <v>259</v>
      </c>
      <c r="H5" s="832"/>
      <c r="I5" s="832"/>
      <c r="J5" s="833"/>
      <c r="K5" s="834"/>
    </row>
    <row r="6" customFormat="false" ht="15.75" hidden="false" customHeight="false" outlineLevel="0" collapsed="false">
      <c r="A6" s="344"/>
      <c r="B6" s="425"/>
      <c r="C6" s="425"/>
      <c r="D6" s="425"/>
      <c r="E6" s="425"/>
      <c r="F6" s="425"/>
      <c r="G6" s="425"/>
      <c r="H6" s="425"/>
      <c r="I6" s="425"/>
      <c r="J6" s="833"/>
      <c r="K6" s="834"/>
    </row>
    <row r="7" customFormat="false" ht="12.75" hidden="false" customHeight="false" outlineLevel="0" collapsed="false">
      <c r="B7" s="27" t="s">
        <v>915</v>
      </c>
      <c r="C7" s="27" t="s">
        <v>916</v>
      </c>
      <c r="D7" s="27"/>
      <c r="E7" s="27"/>
      <c r="F7" s="27"/>
      <c r="G7" s="331" t="n">
        <v>4146</v>
      </c>
      <c r="H7" s="835" t="s">
        <v>132</v>
      </c>
      <c r="I7" s="836" t="n">
        <v>5407</v>
      </c>
      <c r="J7" s="372"/>
      <c r="K7" s="667"/>
    </row>
    <row r="8" customFormat="false" ht="12.75" hidden="false" customHeight="false" outlineLevel="0" collapsed="false">
      <c r="B8" s="27" t="s">
        <v>917</v>
      </c>
      <c r="C8" s="27"/>
      <c r="D8" s="27"/>
      <c r="E8" s="27"/>
      <c r="F8" s="27"/>
      <c r="G8" s="372"/>
      <c r="H8" s="835" t="s">
        <v>132</v>
      </c>
      <c r="I8" s="372"/>
      <c r="J8" s="372"/>
      <c r="K8" s="667"/>
    </row>
    <row r="9" customFormat="false" ht="12.75" hidden="false" customHeight="false" outlineLevel="0" collapsed="false">
      <c r="B9" s="27" t="s">
        <v>918</v>
      </c>
      <c r="C9" s="27"/>
      <c r="D9" s="27"/>
      <c r="E9" s="27"/>
      <c r="F9" s="27"/>
      <c r="G9" s="372"/>
      <c r="H9" s="835" t="s">
        <v>132</v>
      </c>
      <c r="I9" s="372" t="n">
        <f aca="false">'Sum of Parts-Slide'!L17</f>
        <v>6489.6</v>
      </c>
      <c r="J9" s="762"/>
      <c r="K9" s="667"/>
    </row>
    <row r="10" customFormat="false" ht="15" hidden="false" customHeight="false" outlineLevel="0" collapsed="false">
      <c r="B10" s="27" t="s">
        <v>779</v>
      </c>
      <c r="C10" s="27"/>
      <c r="D10" s="27"/>
      <c r="E10" s="27"/>
      <c r="F10" s="27"/>
      <c r="G10" s="837"/>
      <c r="H10" s="835" t="s">
        <v>132</v>
      </c>
      <c r="I10" s="837" t="n">
        <v>171</v>
      </c>
      <c r="J10" s="671"/>
      <c r="K10" s="667"/>
    </row>
    <row r="11" customFormat="false" ht="12.75" hidden="false" customHeight="false" outlineLevel="0" collapsed="false">
      <c r="B11" s="27"/>
      <c r="C11" s="27" t="s">
        <v>919</v>
      </c>
      <c r="D11" s="27"/>
      <c r="E11" s="27"/>
      <c r="F11" s="27"/>
      <c r="G11" s="838" t="n">
        <f aca="false">SUM(G7:G10)</f>
        <v>4146</v>
      </c>
      <c r="H11" s="835" t="s">
        <v>132</v>
      </c>
      <c r="I11" s="838" t="n">
        <f aca="false">SUM(I7:I10)</f>
        <v>12067.6</v>
      </c>
      <c r="J11" s="64"/>
      <c r="K11" s="667"/>
    </row>
    <row r="12" customFormat="false" ht="12.75" hidden="false" customHeight="false" outlineLevel="0" collapsed="false">
      <c r="B12" s="27"/>
      <c r="C12" s="27"/>
      <c r="D12" s="27"/>
      <c r="E12" s="27"/>
      <c r="F12" s="27"/>
      <c r="G12" s="449"/>
      <c r="H12" s="451"/>
      <c r="I12" s="449"/>
      <c r="J12" s="64"/>
      <c r="K12" s="667"/>
    </row>
    <row r="13" customFormat="false" ht="12.75" hidden="false" customHeight="false" outlineLevel="0" collapsed="false">
      <c r="B13" s="27"/>
      <c r="C13" s="27" t="s">
        <v>920</v>
      </c>
      <c r="D13" s="27"/>
      <c r="E13" s="27"/>
      <c r="F13" s="451"/>
      <c r="G13" s="27"/>
      <c r="H13" s="446"/>
      <c r="I13" s="449"/>
      <c r="J13" s="671"/>
      <c r="K13" s="667"/>
    </row>
    <row r="14" customFormat="false" ht="12.75" hidden="false" customHeight="false" outlineLevel="0" collapsed="false">
      <c r="B14" s="27"/>
      <c r="C14" s="27"/>
      <c r="D14" s="27"/>
      <c r="E14" s="27"/>
      <c r="F14" s="451"/>
      <c r="G14" s="48"/>
      <c r="H14" s="446"/>
      <c r="I14" s="48"/>
      <c r="J14" s="671"/>
      <c r="K14" s="667"/>
    </row>
    <row r="15" customFormat="false" ht="15" hidden="false" customHeight="false" outlineLevel="0" collapsed="false">
      <c r="B15" s="27"/>
      <c r="C15" s="27" t="s">
        <v>921</v>
      </c>
      <c r="D15" s="27"/>
      <c r="E15" s="27"/>
      <c r="F15" s="451"/>
      <c r="G15" s="839"/>
      <c r="H15" s="372"/>
      <c r="I15" s="38"/>
      <c r="J15" s="671"/>
      <c r="K15" s="667"/>
    </row>
    <row r="16" customFormat="false" ht="12.75" hidden="false" customHeight="false" outlineLevel="0" collapsed="false">
      <c r="B16" s="27"/>
      <c r="C16" s="27"/>
      <c r="D16" s="445" t="s">
        <v>639</v>
      </c>
      <c r="E16" s="27"/>
      <c r="F16" s="27"/>
      <c r="G16" s="840" t="n">
        <f aca="false">G11-H13-G14-G15</f>
        <v>4146</v>
      </c>
      <c r="H16" s="841" t="n">
        <f aca="false">[1]Summary!H56</f>
        <v>0</v>
      </c>
      <c r="I16" s="840" t="n">
        <f aca="false">I11-H13-I14-I15</f>
        <v>12067.6</v>
      </c>
      <c r="J16" s="64"/>
      <c r="K16" s="667"/>
    </row>
    <row r="17" customFormat="false" ht="12.75" hidden="false" customHeight="false" outlineLevel="0" collapsed="false">
      <c r="B17" s="27"/>
      <c r="C17" s="27"/>
      <c r="D17" s="448"/>
      <c r="E17" s="27"/>
      <c r="F17" s="27"/>
      <c r="G17" s="27"/>
      <c r="H17" s="449"/>
      <c r="I17" s="449"/>
      <c r="J17" s="64"/>
      <c r="K17" s="667"/>
    </row>
    <row r="18" customFormat="false" ht="12.75" hidden="false" customHeight="false" outlineLevel="0" collapsed="false">
      <c r="B18" s="27"/>
      <c r="C18" s="27"/>
      <c r="D18" s="27" t="s">
        <v>160</v>
      </c>
      <c r="E18" s="27"/>
      <c r="F18" s="27"/>
      <c r="G18" s="27"/>
      <c r="H18" s="842" t="n">
        <f aca="false">'Sum of Parts-Slide'!$N$48</f>
        <v>159.246</v>
      </c>
      <c r="I18" s="449"/>
      <c r="J18" s="64"/>
      <c r="K18" s="667"/>
    </row>
    <row r="19" customFormat="false" ht="12.75" hidden="false" customHeight="false" outlineLevel="0" collapsed="false">
      <c r="B19" s="27"/>
      <c r="C19" s="27"/>
      <c r="D19" s="27"/>
      <c r="E19" s="27"/>
      <c r="F19" s="27"/>
      <c r="G19" s="450"/>
      <c r="H19" s="451"/>
      <c r="I19" s="450"/>
      <c r="J19" s="843"/>
      <c r="K19" s="667"/>
    </row>
    <row r="20" customFormat="false" ht="13.5" hidden="false" customHeight="false" outlineLevel="0" collapsed="false">
      <c r="B20" s="27"/>
      <c r="C20" s="27"/>
      <c r="D20" s="27" t="s">
        <v>161</v>
      </c>
      <c r="E20" s="27"/>
      <c r="F20" s="27"/>
      <c r="G20" s="452" t="n">
        <f aca="false">G16/H18</f>
        <v>26.0351908368185</v>
      </c>
      <c r="H20" s="432" t="n">
        <f aca="false">[1]Summary!H60</f>
        <v>0</v>
      </c>
      <c r="I20" s="452" t="n">
        <f aca="false">I16/H18</f>
        <v>75.7796114188111</v>
      </c>
      <c r="J20" s="829"/>
      <c r="K20" s="667"/>
    </row>
    <row r="21" customFormat="false" ht="13.5" hidden="false" customHeight="false" outlineLevel="0" collapsed="false">
      <c r="B21" s="27"/>
      <c r="C21" s="27"/>
      <c r="D21" s="27"/>
      <c r="E21" s="27"/>
      <c r="F21" s="27"/>
      <c r="G21" s="450"/>
      <c r="H21" s="451"/>
      <c r="I21" s="450"/>
      <c r="J21" s="829"/>
      <c r="K21" s="667"/>
    </row>
    <row r="22" customFormat="false" ht="12.75" hidden="false" customHeight="false" outlineLevel="0" collapsed="false">
      <c r="B22" s="27"/>
      <c r="C22" s="27"/>
      <c r="D22" s="27" t="s">
        <v>162</v>
      </c>
      <c r="E22" s="27"/>
      <c r="F22" s="459"/>
      <c r="G22" s="716"/>
      <c r="H22" s="454" t="n">
        <f aca="false">'Segment Fin Proj'!$J$194</f>
        <v>24.5</v>
      </c>
      <c r="I22" s="454"/>
      <c r="J22" s="829"/>
      <c r="K22" s="667"/>
    </row>
    <row r="23" customFormat="false" ht="12.75" hidden="false" customHeight="false" outlineLevel="0" collapsed="false">
      <c r="B23" s="27"/>
      <c r="C23" s="27"/>
      <c r="D23" s="27"/>
      <c r="E23" s="27"/>
      <c r="F23" s="459"/>
      <c r="G23" s="716"/>
      <c r="H23" s="454"/>
      <c r="I23" s="454"/>
      <c r="J23" s="829"/>
      <c r="K23" s="667"/>
    </row>
    <row r="24" customFormat="false" ht="12.75" hidden="false" customHeight="false" outlineLevel="0" collapsed="false">
      <c r="B24" s="27"/>
      <c r="C24" s="27"/>
      <c r="D24" s="27"/>
      <c r="E24" s="27"/>
      <c r="F24" s="844"/>
      <c r="G24" s="716"/>
      <c r="H24" s="454"/>
      <c r="I24" s="454"/>
      <c r="J24" s="829"/>
      <c r="K24" s="667"/>
    </row>
    <row r="25" customFormat="false" ht="12.75" hidden="false" customHeight="false" outlineLevel="0" collapsed="false">
      <c r="B25" s="27"/>
      <c r="C25" s="27"/>
      <c r="D25" s="27"/>
      <c r="E25" s="27"/>
      <c r="F25" s="27"/>
      <c r="G25" s="450"/>
      <c r="H25" s="451"/>
      <c r="I25" s="450"/>
      <c r="J25" s="728"/>
      <c r="K25" s="667"/>
    </row>
    <row r="26" customFormat="false" ht="13.5" hidden="false" customHeight="false" outlineLevel="0" collapsed="false">
      <c r="B26" s="27"/>
      <c r="C26" s="27"/>
      <c r="D26" s="27" t="s">
        <v>163</v>
      </c>
      <c r="E26" s="27"/>
      <c r="F26" s="27"/>
      <c r="G26" s="455" t="n">
        <f aca="false">-(H22-G20)/H22</f>
        <v>0.0626608504823879</v>
      </c>
      <c r="H26" s="432" t="s">
        <v>132</v>
      </c>
      <c r="I26" s="455" t="n">
        <f aca="false">-(H22-I20)/H22</f>
        <v>2.09304536403311</v>
      </c>
      <c r="J26" s="829"/>
      <c r="K26" s="667"/>
    </row>
    <row r="27" customFormat="false" ht="13.5" hidden="false" customHeight="false" outlineLevel="0" collapsed="false">
      <c r="G27" s="456"/>
      <c r="I27" s="456"/>
      <c r="J27" s="845"/>
      <c r="K27" s="667"/>
    </row>
    <row r="28" customFormat="false" ht="12.75" hidden="false" customHeight="false" outlineLevel="0" collapsed="false">
      <c r="J28" s="845"/>
      <c r="K28" s="667"/>
    </row>
    <row r="29" customFormat="false" ht="12.75" hidden="false" customHeight="false" outlineLevel="0" collapsed="false">
      <c r="G29" s="846"/>
      <c r="H29" s="432"/>
      <c r="I29" s="846"/>
      <c r="J29" s="845"/>
      <c r="K29" s="667"/>
    </row>
    <row r="30" customFormat="false" ht="12.75" hidden="false" customHeight="false" outlineLevel="0" collapsed="false">
      <c r="G30" s="846"/>
      <c r="H30" s="432"/>
      <c r="I30" s="846"/>
      <c r="J30" s="845"/>
      <c r="K30" s="667"/>
    </row>
    <row r="31" customFormat="false" ht="12.75" hidden="false" customHeight="false" outlineLevel="0" collapsed="false">
      <c r="G31" s="846"/>
      <c r="H31" s="432"/>
      <c r="I31" s="846"/>
      <c r="J31" s="829"/>
      <c r="K31" s="667"/>
    </row>
    <row r="32" customFormat="false" ht="12.75" hidden="false" customHeight="false" outlineLevel="0" collapsed="false">
      <c r="B32" s="0" t="s">
        <v>922</v>
      </c>
      <c r="C32" s="829"/>
      <c r="D32" s="829"/>
      <c r="E32" s="829"/>
      <c r="F32" s="829"/>
      <c r="G32" s="829"/>
      <c r="H32" s="829"/>
      <c r="I32" s="829"/>
    </row>
    <row r="33" customFormat="false" ht="12.75" hidden="false" customHeight="false" outlineLevel="0" collapsed="false">
      <c r="B33" s="0" t="s">
        <v>923</v>
      </c>
    </row>
    <row r="34" customFormat="false" ht="13.5" hidden="false" customHeight="false" outlineLevel="0" collapsed="false">
      <c r="B34" s="788" t="s">
        <v>924</v>
      </c>
    </row>
    <row r="35" customFormat="false" ht="17.25" hidden="false" customHeight="false" outlineLevel="0" collapsed="false">
      <c r="A35" s="830" t="s">
        <v>925</v>
      </c>
      <c r="B35" s="831"/>
      <c r="C35" s="831"/>
      <c r="D35" s="831"/>
      <c r="E35" s="831"/>
    </row>
    <row r="37" customFormat="false" ht="12.75" hidden="false" customHeight="false" outlineLevel="0" collapsed="false">
      <c r="A37" s="0" t="s">
        <v>926</v>
      </c>
      <c r="C37" s="847" t="n">
        <v>100</v>
      </c>
      <c r="D37" s="0" t="s">
        <v>927</v>
      </c>
    </row>
    <row r="38" customFormat="false" ht="12.75" hidden="false" customHeight="false" outlineLevel="0" collapsed="false">
      <c r="A38" s="0" t="s">
        <v>928</v>
      </c>
      <c r="C38" s="848" t="n">
        <v>0.02</v>
      </c>
      <c r="D38" s="0" t="s">
        <v>929</v>
      </c>
    </row>
    <row r="39" customFormat="false" ht="12.75" hidden="false" customHeight="false" outlineLevel="0" collapsed="false">
      <c r="A39" s="0" t="s">
        <v>930</v>
      </c>
      <c r="C39" s="32" t="n">
        <v>32</v>
      </c>
      <c r="D39" s="0" t="s">
        <v>931</v>
      </c>
    </row>
    <row r="40" customFormat="false" ht="12.75" hidden="false" customHeight="false" outlineLevel="0" collapsed="false">
      <c r="A40" s="0" t="s">
        <v>932</v>
      </c>
      <c r="C40" s="688" t="n">
        <v>0.01</v>
      </c>
      <c r="D40" s="0" t="s">
        <v>929</v>
      </c>
    </row>
    <row r="41" customFormat="false" ht="12.75" hidden="false" customHeight="false" outlineLevel="0" collapsed="false">
      <c r="A41" s="0" t="s">
        <v>933</v>
      </c>
      <c r="C41" s="849" t="n">
        <v>0.53</v>
      </c>
      <c r="E41" s="438"/>
    </row>
    <row r="42" customFormat="false" ht="12.75" hidden="false" customHeight="false" outlineLevel="0" collapsed="false">
      <c r="A42" s="0" t="s">
        <v>934</v>
      </c>
      <c r="C42" s="848" t="n">
        <v>0.01</v>
      </c>
      <c r="D42" s="0" t="s">
        <v>929</v>
      </c>
    </row>
    <row r="43" customFormat="false" ht="12.75" hidden="false" customHeight="false" outlineLevel="0" collapsed="false">
      <c r="A43" s="0" t="s">
        <v>935</v>
      </c>
      <c r="C43" s="848" t="n">
        <v>0.02</v>
      </c>
      <c r="D43" s="0" t="s">
        <v>936</v>
      </c>
    </row>
    <row r="44" customFormat="false" ht="12.75" hidden="false" customHeight="false" outlineLevel="0" collapsed="false">
      <c r="A44" s="0" t="s">
        <v>937</v>
      </c>
      <c r="C44" s="0" t="s">
        <v>61</v>
      </c>
    </row>
    <row r="45" customFormat="false" ht="12.75" hidden="false" customHeight="false" outlineLevel="0" collapsed="false">
      <c r="A45" s="0" t="s">
        <v>938</v>
      </c>
      <c r="C45" s="0" t="s">
        <v>939</v>
      </c>
    </row>
    <row r="46" customFormat="false" ht="12.75" hidden="false" customHeight="false" outlineLevel="0" collapsed="false">
      <c r="A46" s="0" t="s">
        <v>940</v>
      </c>
      <c r="C46" s="850" t="n">
        <v>0.39</v>
      </c>
    </row>
    <row r="49" customFormat="false" ht="12.75" hidden="false" customHeight="false" outlineLevel="0" collapsed="false">
      <c r="A49" s="30" t="s">
        <v>941</v>
      </c>
      <c r="B49" s="30"/>
      <c r="C49" s="30"/>
      <c r="D49" s="30"/>
      <c r="E49" s="30" t="n">
        <v>2000</v>
      </c>
      <c r="F49" s="30" t="n">
        <v>2001</v>
      </c>
      <c r="G49" s="30" t="n">
        <v>2002</v>
      </c>
      <c r="H49" s="30" t="n">
        <v>2003</v>
      </c>
      <c r="I49" s="30" t="n">
        <v>2004</v>
      </c>
      <c r="J49" s="30" t="n">
        <v>2005</v>
      </c>
    </row>
    <row r="50" customFormat="false" ht="12.75" hidden="false" customHeight="false" outlineLevel="0" collapsed="false">
      <c r="A50" s="0" t="s">
        <v>58</v>
      </c>
    </row>
    <row r="51" customFormat="false" ht="12.75" hidden="false" customHeight="false" outlineLevel="0" collapsed="false">
      <c r="B51" s="0" t="s">
        <v>942</v>
      </c>
      <c r="E51" s="322" t="n">
        <f aca="false">$C$39</f>
        <v>32</v>
      </c>
      <c r="F51" s="322" t="n">
        <f aca="false">E51*(1+$C$40)</f>
        <v>32.32</v>
      </c>
      <c r="G51" s="322" t="n">
        <f aca="false">F51*(1+$C$40)</f>
        <v>32.6432</v>
      </c>
      <c r="H51" s="322" t="n">
        <f aca="false">G51*(1+$C$40)</f>
        <v>32.969632</v>
      </c>
      <c r="I51" s="322" t="n">
        <f aca="false">H51*(1+$C$40)</f>
        <v>33.29932832</v>
      </c>
      <c r="J51" s="322" t="n">
        <f aca="false">I51*(1+$C$40)</f>
        <v>33.6323216032</v>
      </c>
    </row>
    <row r="52" customFormat="false" ht="15" hidden="false" customHeight="false" outlineLevel="0" collapsed="false">
      <c r="B52" s="0" t="s">
        <v>943</v>
      </c>
      <c r="E52" s="851" t="n">
        <v>42941</v>
      </c>
      <c r="F52" s="852" t="n">
        <f aca="false">$E$52</f>
        <v>42941</v>
      </c>
      <c r="G52" s="852" t="n">
        <f aca="false">$E$52</f>
        <v>42941</v>
      </c>
      <c r="H52" s="852" t="n">
        <f aca="false">$E$52</f>
        <v>42941</v>
      </c>
      <c r="I52" s="852" t="n">
        <f aca="false">$E$52</f>
        <v>42941</v>
      </c>
      <c r="J52" s="852" t="n">
        <f aca="false">$E$52</f>
        <v>42941</v>
      </c>
    </row>
    <row r="53" customFormat="false" ht="12.75" hidden="false" customHeight="false" outlineLevel="0" collapsed="false">
      <c r="B53" s="0" t="s">
        <v>944</v>
      </c>
      <c r="E53" s="46" t="n">
        <f aca="false">E52*E51/1000</f>
        <v>1374.112</v>
      </c>
      <c r="F53" s="46" t="n">
        <f aca="false">F52*F51/1000</f>
        <v>1387.85312</v>
      </c>
      <c r="G53" s="46" t="n">
        <f aca="false">G52*G51/1000</f>
        <v>1401.7316512</v>
      </c>
      <c r="H53" s="46" t="n">
        <f aca="false">H52*H51/1000</f>
        <v>1415.748967712</v>
      </c>
      <c r="I53" s="46" t="n">
        <f aca="false">I52*I51/1000</f>
        <v>1429.90645738912</v>
      </c>
      <c r="J53" s="46" t="n">
        <f aca="false">J52*J51/1000</f>
        <v>1444.20552196301</v>
      </c>
    </row>
    <row r="55" customFormat="false" ht="12.75" hidden="false" customHeight="false" outlineLevel="0" collapsed="false">
      <c r="A55" s="0" t="s">
        <v>945</v>
      </c>
    </row>
    <row r="56" customFormat="false" ht="12.75" hidden="false" customHeight="false" outlineLevel="0" collapsed="false">
      <c r="B56" s="0" t="s">
        <v>946</v>
      </c>
      <c r="E56" s="43" t="n">
        <v>556.891</v>
      </c>
      <c r="F56" s="46" t="n">
        <f aca="false">E56*(1+$C$42)</f>
        <v>562.45991</v>
      </c>
      <c r="G56" s="46" t="n">
        <f aca="false">F56*(1+$C$42)</f>
        <v>568.0845091</v>
      </c>
      <c r="H56" s="46" t="n">
        <f aca="false">G56*(1+$C$42)</f>
        <v>573.765354191</v>
      </c>
      <c r="I56" s="46" t="n">
        <f aca="false">H56*(1+$C$42)</f>
        <v>579.50300773291</v>
      </c>
      <c r="J56" s="46" t="n">
        <f aca="false">I56*(1+$C$42)</f>
        <v>585.298037810239</v>
      </c>
    </row>
    <row r="57" customFormat="false" ht="15" hidden="false" customHeight="false" outlineLevel="0" collapsed="false">
      <c r="B57" s="0" t="s">
        <v>947</v>
      </c>
      <c r="E57" s="333" t="n">
        <v>179.788</v>
      </c>
      <c r="F57" s="38" t="n">
        <f aca="false">E57*(1+$C$43)</f>
        <v>183.38376</v>
      </c>
      <c r="G57" s="38" t="n">
        <f aca="false">F57*(1+$C$43)</f>
        <v>187.0514352</v>
      </c>
      <c r="H57" s="38" t="n">
        <f aca="false">G57*(1+$C$43)</f>
        <v>190.792463904</v>
      </c>
      <c r="I57" s="38" t="n">
        <f aca="false">H57*(1+$C$43)</f>
        <v>194.60831318208</v>
      </c>
      <c r="J57" s="38" t="n">
        <f aca="false">I57*(1+$C$43)</f>
        <v>198.500479445722</v>
      </c>
    </row>
    <row r="58" customFormat="false" ht="12.75" hidden="false" customHeight="false" outlineLevel="0" collapsed="false">
      <c r="B58" s="0" t="s">
        <v>948</v>
      </c>
      <c r="E58" s="457" t="n">
        <f aca="false">SUM(E56:E57)</f>
        <v>736.679</v>
      </c>
      <c r="F58" s="457" t="n">
        <f aca="false">SUM(F56:F57)</f>
        <v>745.84367</v>
      </c>
      <c r="G58" s="457" t="n">
        <f aca="false">SUM(G56:G57)</f>
        <v>755.1359443</v>
      </c>
      <c r="H58" s="457" t="n">
        <f aca="false">SUM(H56:H57)</f>
        <v>764.557818095</v>
      </c>
      <c r="I58" s="457" t="n">
        <f aca="false">SUM(I56:I57)</f>
        <v>774.11132091499</v>
      </c>
      <c r="J58" s="457" t="n">
        <f aca="false">SUM(J56:J57)</f>
        <v>783.798517255961</v>
      </c>
    </row>
    <row r="60" customFormat="false" ht="12.75" hidden="false" customHeight="false" outlineLevel="0" collapsed="false">
      <c r="A60" s="0" t="s">
        <v>61</v>
      </c>
      <c r="E60" s="46" t="n">
        <f aca="false">E53-E58</f>
        <v>637.433</v>
      </c>
      <c r="F60" s="46" t="n">
        <f aca="false">F53-F58</f>
        <v>642.00945</v>
      </c>
      <c r="G60" s="46" t="n">
        <f aca="false">G53-G58</f>
        <v>646.5957069</v>
      </c>
      <c r="H60" s="46" t="n">
        <f aca="false">H53-H58</f>
        <v>651.191149617</v>
      </c>
      <c r="I60" s="46" t="n">
        <f aca="false">I53-I58</f>
        <v>655.79513647413</v>
      </c>
      <c r="J60" s="46" t="n">
        <f aca="false">J53-J58</f>
        <v>660.40700470705</v>
      </c>
    </row>
    <row r="61" customFormat="false" ht="15" hidden="false" customHeight="false" outlineLevel="0" collapsed="false">
      <c r="A61" s="0" t="s">
        <v>949</v>
      </c>
      <c r="E61" s="38" t="n">
        <f aca="false">$C$37</f>
        <v>100</v>
      </c>
      <c r="F61" s="660" t="n">
        <f aca="false">E61*(1+$C$38)</f>
        <v>102</v>
      </c>
      <c r="G61" s="660" t="n">
        <f aca="false">F61*(1+$C$38)</f>
        <v>104.04</v>
      </c>
      <c r="H61" s="660" t="n">
        <f aca="false">G61*(1+$C$38)</f>
        <v>106.1208</v>
      </c>
      <c r="I61" s="660" t="n">
        <f aca="false">H61*(1+$C$38)</f>
        <v>108.243216</v>
      </c>
      <c r="J61" s="660" t="n">
        <f aca="false">I61*(1+$C$38)</f>
        <v>110.40808032</v>
      </c>
    </row>
    <row r="62" customFormat="false" ht="12.75" hidden="false" customHeight="false" outlineLevel="0" collapsed="false">
      <c r="A62" s="0" t="s">
        <v>950</v>
      </c>
      <c r="E62" s="457" t="n">
        <f aca="false">E60-E61</f>
        <v>537.433</v>
      </c>
      <c r="F62" s="457" t="n">
        <f aca="false">F60-F61</f>
        <v>540.00945</v>
      </c>
      <c r="G62" s="457" t="n">
        <f aca="false">G60-G61</f>
        <v>542.5557069</v>
      </c>
      <c r="H62" s="457" t="n">
        <f aca="false">H60-H61</f>
        <v>545.070349617</v>
      </c>
      <c r="I62" s="457" t="n">
        <f aca="false">I60-I61</f>
        <v>547.55192047413</v>
      </c>
      <c r="J62" s="457" t="n">
        <f aca="false">J60-J61</f>
        <v>549.998924387051</v>
      </c>
    </row>
    <row r="63" customFormat="false" ht="12.75" hidden="false" customHeight="false" outlineLevel="0" collapsed="false">
      <c r="A63" s="0" t="s">
        <v>951</v>
      </c>
      <c r="E63" s="457" t="n">
        <f aca="false">(1-$C$46)*E62</f>
        <v>327.83413</v>
      </c>
      <c r="F63" s="457" t="n">
        <f aca="false">(1-$C$46)*F62</f>
        <v>329.4057645</v>
      </c>
      <c r="G63" s="457" t="n">
        <f aca="false">(1-$C$46)*G62</f>
        <v>330.958981209</v>
      </c>
      <c r="H63" s="457" t="n">
        <f aca="false">(1-$C$46)*H62</f>
        <v>332.49291326637</v>
      </c>
      <c r="I63" s="457" t="n">
        <f aca="false">(1-$C$46)*I62</f>
        <v>334.006671489219</v>
      </c>
      <c r="J63" s="457" t="n">
        <f aca="false">(1-$C$46)*J62</f>
        <v>335.499343876101</v>
      </c>
    </row>
    <row r="65" customFormat="false" ht="12.75" hidden="true" customHeight="false" outlineLevel="0" collapsed="false">
      <c r="E65" s="0" t="n">
        <v>0</v>
      </c>
      <c r="F65" s="0" t="n">
        <v>0</v>
      </c>
      <c r="G65" s="0" t="n">
        <v>0</v>
      </c>
      <c r="H65" s="0" t="n">
        <v>0</v>
      </c>
      <c r="I65" s="0" t="n">
        <v>0</v>
      </c>
      <c r="J65" s="457" t="n">
        <f aca="false">J60</f>
        <v>660.40700470705</v>
      </c>
    </row>
    <row r="66" customFormat="false" ht="12.75" hidden="false" customHeight="false" outlineLevel="0" collapsed="false">
      <c r="E66" s="0" t="s">
        <v>952</v>
      </c>
      <c r="G66" s="853"/>
    </row>
    <row r="67" customFormat="false" ht="12.75" hidden="false" customHeight="false" outlineLevel="0" collapsed="false">
      <c r="E67" s="438" t="s">
        <v>953</v>
      </c>
    </row>
    <row r="68" customFormat="false" ht="12.75" hidden="false" customHeight="false" outlineLevel="0" collapsed="false">
      <c r="C68" s="438" t="s">
        <v>938</v>
      </c>
      <c r="D68" s="854" t="n">
        <v>7</v>
      </c>
      <c r="E68" s="855" t="n">
        <v>8</v>
      </c>
      <c r="F68" s="856" t="n">
        <v>9</v>
      </c>
      <c r="J68" s="853"/>
    </row>
    <row r="69" customFormat="false" ht="12.75" hidden="false" customHeight="false" outlineLevel="0" collapsed="false">
      <c r="C69" s="857" t="n">
        <v>0.075</v>
      </c>
      <c r="D69" s="858" t="n">
        <f aca="false">NPV($C69,$E$63:$J$63)+NPV($C69,$E$65:$J$65)*D$68</f>
        <v>4550.8615052862</v>
      </c>
      <c r="E69" s="859" t="n">
        <f aca="false">NPV($C69,$E$63:$J$63)+NPV($C69,$E$65:$J$65)*E$68</f>
        <v>4978.77983086125</v>
      </c>
      <c r="F69" s="860" t="n">
        <f aca="false">NPV($C69,$E$63:$J$63)+NPV($C69,$E$65:$J$65)*F$68</f>
        <v>5406.6981564363</v>
      </c>
      <c r="G69" s="853"/>
      <c r="H69" s="853"/>
    </row>
    <row r="70" customFormat="false" ht="12.75" hidden="false" customHeight="false" outlineLevel="0" collapsed="false">
      <c r="C70" s="857" t="n">
        <v>0.08</v>
      </c>
      <c r="D70" s="861" t="n">
        <f aca="false">NPV($C70,$E$63:$J$63)+NPV($C70,$E$65:$J$65)*D$68</f>
        <v>4445.00047163362</v>
      </c>
      <c r="E70" s="46" t="n">
        <f aca="false">NPV($C70,$E$63:$J$63)+NPV($C70,$E$65:$J$65)*E$68</f>
        <v>4861.16890738085</v>
      </c>
      <c r="F70" s="862" t="n">
        <f aca="false">NPV($C70,$E$63:$J$63)+NPV($C70,$E$65:$J$65)*F$68</f>
        <v>5277.33734312808</v>
      </c>
    </row>
    <row r="71" customFormat="false" ht="12.75" hidden="false" customHeight="false" outlineLevel="0" collapsed="false">
      <c r="C71" s="857" t="n">
        <v>0.085</v>
      </c>
      <c r="D71" s="861" t="n">
        <f aca="false">NPV($C71,$E$63:$J$63)+NPV($C71,$E$65:$J$65)*D$68</f>
        <v>4342.32044582064</v>
      </c>
      <c r="E71" s="46" t="n">
        <f aca="false">NPV($C71,$E$63:$J$63)+NPV($C71,$E$65:$J$65)*E$68</f>
        <v>4747.11367714603</v>
      </c>
      <c r="F71" s="862" t="n">
        <f aca="false">NPV($C71,$E$63:$J$63)+NPV($C71,$E$65:$J$65)*F$68</f>
        <v>5151.90690847142</v>
      </c>
    </row>
    <row r="72" customFormat="false" ht="12.75" hidden="false" customHeight="false" outlineLevel="0" collapsed="false">
      <c r="C72" s="857" t="n">
        <v>0.09</v>
      </c>
      <c r="D72" s="861" t="n">
        <f aca="false">NPV($C72,$E$63:$J$63)+NPV($C72,$E$65:$J$65)*D$68</f>
        <v>4242.7094700724</v>
      </c>
      <c r="E72" s="46" t="n">
        <f aca="false">NPV($C72,$E$63:$J$63)+NPV($C72,$E$65:$J$65)*E$68</f>
        <v>4636.48858942138</v>
      </c>
      <c r="F72" s="862" t="n">
        <f aca="false">NPV($C72,$E$63:$J$63)+NPV($C72,$E$65:$J$65)*F$68</f>
        <v>5030.26770877036</v>
      </c>
    </row>
    <row r="73" customFormat="false" ht="12.75" hidden="false" customHeight="false" outlineLevel="0" collapsed="false">
      <c r="C73" s="857" t="n">
        <v>0.095</v>
      </c>
      <c r="D73" s="863" t="n">
        <f aca="false">NPV($C73,$E$63:$J$63)+NPV($C73,$E$65:$J$65)*D$68</f>
        <v>4146.06005276137</v>
      </c>
      <c r="E73" s="864" t="n">
        <f aca="false">NPV($C73,$E$63:$J$63)+NPV($C73,$E$65:$J$65)*E$68</f>
        <v>4529.17311188086</v>
      </c>
      <c r="F73" s="865" t="n">
        <f aca="false">NPV($C73,$E$63:$J$63)+NPV($C73,$E$65:$J$65)*F$68</f>
        <v>4912.28617100036</v>
      </c>
    </row>
    <row r="76" customFormat="false" ht="12.75" hidden="false" customHeight="false" outlineLevel="0" collapsed="false">
      <c r="A76" s="28"/>
    </row>
    <row r="78" customFormat="false" ht="12.75" hidden="false" customHeight="false" outlineLevel="0" collapsed="false">
      <c r="B78" s="47"/>
      <c r="C78" s="438"/>
      <c r="D78" s="47"/>
    </row>
    <row r="79" customFormat="false" ht="12.75" hidden="false" customHeight="false" outlineLevel="0" collapsed="false">
      <c r="A79" s="366"/>
      <c r="B79" s="866"/>
      <c r="C79" s="366"/>
      <c r="D79" s="866"/>
    </row>
    <row r="80" customFormat="false" ht="12.75" hidden="false" customHeight="false" outlineLevel="0" collapsed="false">
      <c r="B80" s="331"/>
      <c r="D80" s="331"/>
    </row>
    <row r="81" customFormat="false" ht="12.75" hidden="false" customHeight="false" outlineLevel="0" collapsed="false">
      <c r="A81" s="366"/>
      <c r="B81" s="866"/>
      <c r="C81" s="866"/>
      <c r="D81" s="864"/>
    </row>
    <row r="82" customFormat="false" ht="12.75" hidden="false" customHeight="false" outlineLevel="0" collapsed="false">
      <c r="B82" s="457"/>
      <c r="C82" s="457"/>
      <c r="D82" s="457"/>
    </row>
    <row r="83" customFormat="false" ht="12.75" hidden="false" customHeight="false" outlineLevel="0" collapsed="false">
      <c r="B83" s="331"/>
      <c r="D83" s="331"/>
    </row>
  </sheetData>
  <mergeCells count="2">
    <mergeCell ref="B5:E5"/>
    <mergeCell ref="G5: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" manualBreakCount="1">
    <brk id="34" man="true" max="16383" min="0"/>
  </rowBreak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7" activeCellId="0" sqref="E47"/>
    </sheetView>
  </sheetViews>
  <sheetFormatPr defaultColWidth="9.13671875" defaultRowHeight="13.5" customHeight="true" zeroHeight="false" outlineLevelRow="0" outlineLevelCol="0"/>
  <cols>
    <col collapsed="false" customWidth="true" hidden="false" outlineLevel="0" max="1" min="1" style="867" width="32.14"/>
    <col collapsed="false" customWidth="true" hidden="false" outlineLevel="0" max="2" min="2" style="867" width="9.56"/>
    <col collapsed="false" customWidth="true" hidden="false" outlineLevel="0" max="3" min="3" style="867" width="8.99"/>
    <col collapsed="false" customWidth="true" hidden="false" outlineLevel="0" max="4" min="4" style="868" width="7.56"/>
    <col collapsed="false" customWidth="false" hidden="false" outlineLevel="0" max="5" min="5" style="868" width="9.14"/>
    <col collapsed="false" customWidth="true" hidden="false" outlineLevel="0" max="6" min="6" style="868" width="23.7"/>
    <col collapsed="false" customWidth="true" hidden="false" outlineLevel="0" max="7" min="7" style="868" width="8.56"/>
    <col collapsed="false" customWidth="true" hidden="false" outlineLevel="0" max="9" min="8" style="868" width="6.56"/>
    <col collapsed="false" customWidth="false" hidden="false" outlineLevel="0" max="13" min="10" style="868" width="9.14"/>
    <col collapsed="false" customWidth="true" hidden="false" outlineLevel="0" max="14" min="14" style="868" width="20.7"/>
    <col collapsed="false" customWidth="true" hidden="false" outlineLevel="0" max="15" min="15" style="868" width="9.99"/>
    <col collapsed="false" customWidth="true" hidden="false" outlineLevel="0" max="16" min="16" style="868" width="11.99"/>
    <col collapsed="false" customWidth="true" hidden="false" outlineLevel="0" max="18" min="17" style="868" width="11.13"/>
    <col collapsed="false" customWidth="false" hidden="false" outlineLevel="0" max="46" min="19" style="868" width="9.14"/>
    <col collapsed="false" customWidth="false" hidden="false" outlineLevel="0" max="257" min="47" style="867" width="9.14"/>
  </cols>
  <sheetData>
    <row r="1" customFormat="false" ht="15" hidden="false" customHeight="false" outlineLevel="0" collapsed="false">
      <c r="A1" s="869" t="s">
        <v>617</v>
      </c>
      <c r="B1" s="870"/>
      <c r="C1" s="870"/>
      <c r="D1" s="871"/>
      <c r="E1" s="871"/>
      <c r="F1" s="871"/>
      <c r="G1" s="871"/>
      <c r="H1" s="871"/>
      <c r="I1" s="871"/>
      <c r="J1" s="871"/>
    </row>
    <row r="2" customFormat="false" ht="13.5" hidden="false" customHeight="false" outlineLevel="0" collapsed="false">
      <c r="A2" s="870"/>
      <c r="B2" s="870"/>
      <c r="C2" s="870"/>
      <c r="D2" s="871"/>
      <c r="E2" s="871"/>
      <c r="F2" s="871"/>
      <c r="G2" s="871"/>
      <c r="H2" s="871"/>
      <c r="I2" s="871"/>
      <c r="J2" s="871"/>
    </row>
    <row r="3" customFormat="false" ht="13.5" hidden="false" customHeight="false" outlineLevel="0" collapsed="false">
      <c r="A3" s="870"/>
      <c r="B3" s="870"/>
      <c r="C3" s="871"/>
      <c r="D3" s="871"/>
      <c r="E3" s="871"/>
      <c r="F3" s="871"/>
      <c r="G3" s="871"/>
      <c r="H3" s="871"/>
      <c r="I3" s="871"/>
      <c r="J3" s="871"/>
    </row>
    <row r="4" customFormat="false" ht="15" hidden="false" customHeight="false" outlineLevel="0" collapsed="false">
      <c r="A4" s="870"/>
      <c r="B4" s="872"/>
      <c r="C4" s="872"/>
      <c r="D4" s="873"/>
      <c r="E4" s="873"/>
      <c r="F4" s="873"/>
      <c r="G4" s="873"/>
      <c r="H4" s="871"/>
      <c r="I4" s="871"/>
      <c r="J4" s="871"/>
    </row>
    <row r="5" customFormat="false" ht="13.5" hidden="false" customHeight="false" outlineLevel="0" collapsed="false">
      <c r="A5" s="874" t="s">
        <v>954</v>
      </c>
      <c r="B5" s="875" t="s">
        <v>58</v>
      </c>
      <c r="C5" s="875" t="s">
        <v>955</v>
      </c>
      <c r="D5" s="876" t="s">
        <v>956</v>
      </c>
      <c r="E5" s="871"/>
      <c r="F5" s="871"/>
      <c r="G5" s="871"/>
      <c r="H5" s="871"/>
      <c r="I5" s="871"/>
      <c r="J5" s="871"/>
    </row>
    <row r="6" customFormat="false" ht="13.5" hidden="false" customHeight="false" outlineLevel="0" collapsed="false">
      <c r="A6" s="877" t="s">
        <v>957</v>
      </c>
      <c r="B6" s="878" t="n">
        <v>1999</v>
      </c>
      <c r="C6" s="878" t="n">
        <v>1999</v>
      </c>
      <c r="D6" s="879" t="s">
        <v>10</v>
      </c>
      <c r="E6" s="871"/>
      <c r="F6" s="871"/>
      <c r="G6" s="871"/>
      <c r="H6" s="871"/>
      <c r="I6" s="871"/>
      <c r="J6" s="871"/>
    </row>
    <row r="7" customFormat="false" ht="13.5" hidden="false" customHeight="false" outlineLevel="0" collapsed="false">
      <c r="A7" s="880" t="s">
        <v>958</v>
      </c>
      <c r="B7" s="881" t="n">
        <v>43611</v>
      </c>
      <c r="C7" s="881" t="n">
        <v>519</v>
      </c>
      <c r="D7" s="882" t="n">
        <f aca="false">C7/$C$11</f>
        <v>0.869346733668342</v>
      </c>
      <c r="E7" s="883"/>
      <c r="F7" s="883"/>
      <c r="G7" s="884"/>
      <c r="H7" s="871"/>
      <c r="I7" s="871"/>
      <c r="J7" s="871"/>
    </row>
    <row r="8" customFormat="false" ht="13.5" hidden="false" customHeight="false" outlineLevel="0" collapsed="false">
      <c r="A8" s="880" t="s">
        <v>959</v>
      </c>
      <c r="B8" s="881" t="n">
        <v>1817</v>
      </c>
      <c r="C8" s="881" t="n">
        <v>29</v>
      </c>
      <c r="D8" s="882" t="n">
        <f aca="false">C8/$C$11</f>
        <v>0.0485762144053601</v>
      </c>
      <c r="E8" s="883"/>
      <c r="F8" s="883"/>
      <c r="G8" s="884"/>
      <c r="H8" s="871"/>
      <c r="I8" s="871"/>
      <c r="J8" s="871"/>
    </row>
    <row r="9" customFormat="false" ht="13.5" hidden="false" customHeight="false" outlineLevel="0" collapsed="false">
      <c r="A9" s="880" t="s">
        <v>960</v>
      </c>
      <c r="B9" s="881" t="n">
        <v>286</v>
      </c>
      <c r="C9" s="881" t="n">
        <v>-181</v>
      </c>
      <c r="D9" s="882" t="n">
        <f aca="false">C9/$C$11</f>
        <v>-0.303182579564489</v>
      </c>
      <c r="E9" s="883"/>
      <c r="F9" s="883"/>
      <c r="G9" s="884"/>
      <c r="H9" s="871"/>
      <c r="I9" s="871"/>
      <c r="J9" s="871"/>
    </row>
    <row r="10" customFormat="false" ht="13.5" hidden="false" customHeight="false" outlineLevel="0" collapsed="false">
      <c r="A10" s="880" t="s">
        <v>961</v>
      </c>
      <c r="B10" s="885"/>
      <c r="C10" s="885" t="n">
        <f aca="false">377-147</f>
        <v>230</v>
      </c>
      <c r="D10" s="882"/>
      <c r="E10" s="883"/>
      <c r="F10" s="883"/>
      <c r="G10" s="884"/>
      <c r="H10" s="871"/>
      <c r="I10" s="871"/>
      <c r="J10" s="871"/>
    </row>
    <row r="11" customFormat="false" ht="13.5" hidden="false" customHeight="false" outlineLevel="0" collapsed="false">
      <c r="A11" s="886" t="s">
        <v>962</v>
      </c>
      <c r="B11" s="887" t="n">
        <f aca="false">SUM(B7:B10)</f>
        <v>45714</v>
      </c>
      <c r="C11" s="887" t="n">
        <f aca="false">SUM(C7:C10)</f>
        <v>597</v>
      </c>
      <c r="D11" s="888" t="n">
        <f aca="false">SUM(D7:D10)</f>
        <v>0.614740368509213</v>
      </c>
      <c r="E11" s="883"/>
      <c r="F11" s="883"/>
      <c r="G11" s="884"/>
      <c r="H11" s="871"/>
      <c r="I11" s="871"/>
      <c r="J11" s="871"/>
    </row>
    <row r="12" customFormat="false" ht="13.5" hidden="false" customHeight="false" outlineLevel="0" collapsed="false">
      <c r="A12" s="880" t="s">
        <v>963</v>
      </c>
      <c r="B12" s="889"/>
      <c r="C12" s="889"/>
      <c r="D12" s="890"/>
      <c r="E12" s="871"/>
      <c r="F12" s="871"/>
      <c r="G12" s="871"/>
      <c r="H12" s="871"/>
      <c r="I12" s="871"/>
      <c r="J12" s="871"/>
    </row>
    <row r="13" customFormat="false" ht="13.5" hidden="false" customHeight="false" outlineLevel="0" collapsed="false">
      <c r="A13" s="880" t="s">
        <v>964</v>
      </c>
      <c r="B13" s="891"/>
      <c r="C13" s="891"/>
      <c r="D13" s="871"/>
      <c r="E13" s="871"/>
      <c r="F13" s="871"/>
      <c r="G13" s="871"/>
      <c r="H13" s="871"/>
      <c r="I13" s="871"/>
      <c r="J13" s="871"/>
    </row>
    <row r="14" customFormat="false" ht="7.5" hidden="false" customHeight="true" outlineLevel="0" collapsed="false">
      <c r="A14" s="871"/>
      <c r="B14" s="871"/>
      <c r="C14" s="871"/>
      <c r="D14" s="871"/>
      <c r="E14" s="871"/>
      <c r="F14" s="871"/>
      <c r="G14" s="871"/>
      <c r="H14" s="871"/>
      <c r="I14" s="871"/>
      <c r="J14" s="871"/>
    </row>
    <row r="15" customFormat="false" ht="13.5" hidden="false" customHeight="false" outlineLevel="0" collapsed="false">
      <c r="A15" s="870"/>
      <c r="B15" s="870"/>
      <c r="C15" s="870"/>
      <c r="D15" s="871"/>
      <c r="E15" s="871"/>
      <c r="F15" s="871"/>
      <c r="G15" s="871"/>
      <c r="H15" s="871"/>
      <c r="I15" s="871"/>
      <c r="J15" s="8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3"/>
  <sheetViews>
    <sheetView showFormulas="false" showGridLines="true" showRowColHeaders="true" showZeros="true" rightToLeft="false" tabSelected="false" showOutlineSymbols="true" defaultGridColor="true" view="normal" topLeftCell="A12" colorId="64" zoomScale="80" zoomScaleNormal="80" zoomScalePageLayoutView="75" workbookViewId="0">
      <selection pane="topLeft" activeCell="E75" activeCellId="0" sqref="E75"/>
    </sheetView>
  </sheetViews>
  <sheetFormatPr defaultColWidth="7.9921875" defaultRowHeight="15" customHeight="true" zeroHeight="false" outlineLevelRow="0" outlineLevelCol="0"/>
  <cols>
    <col collapsed="false" customWidth="true" hidden="false" outlineLevel="0" max="1" min="1" style="157" width="3.42"/>
    <col collapsed="false" customWidth="true" hidden="false" outlineLevel="0" max="2" min="2" style="158" width="4.56"/>
    <col collapsed="false" customWidth="true" hidden="true" outlineLevel="0" max="3" min="3" style="159" width="24.7"/>
    <col collapsed="false" customWidth="true" hidden="false" outlineLevel="0" max="4" min="4" style="159" width="24.7"/>
    <col collapsed="false" customWidth="true" hidden="false" outlineLevel="0" max="5" min="5" style="159" width="22.28"/>
    <col collapsed="false" customWidth="true" hidden="false" outlineLevel="0" max="6" min="6" style="159" width="8.99"/>
    <col collapsed="false" customWidth="true" hidden="false" outlineLevel="0" max="7" min="7" style="159" width="9.7"/>
    <col collapsed="false" customWidth="true" hidden="false" outlineLevel="0" max="8" min="8" style="159" width="10.85"/>
    <col collapsed="false" customWidth="true" hidden="false" outlineLevel="0" max="9" min="9" style="159" width="10.56"/>
    <col collapsed="false" customWidth="true" hidden="false" outlineLevel="0" max="10" min="10" style="159" width="9.56"/>
    <col collapsed="false" customWidth="true" hidden="true" outlineLevel="0" max="11" min="11" style="159" width="7.7"/>
    <col collapsed="false" customWidth="true" hidden="true" outlineLevel="0" max="12" min="12" style="159" width="2.99"/>
    <col collapsed="false" customWidth="true" hidden="false" outlineLevel="0" max="13" min="13" style="160" width="8.28"/>
    <col collapsed="false" customWidth="true" hidden="false" outlineLevel="0" max="14" min="14" style="161" width="1.99"/>
    <col collapsed="false" customWidth="true" hidden="false" outlineLevel="0" max="15" min="15" style="160" width="10.56"/>
    <col collapsed="false" customWidth="true" hidden="true" outlineLevel="0" max="16" min="16" style="162" width="8.7"/>
    <col collapsed="false" customWidth="true" hidden="false" outlineLevel="0" max="17" min="17" style="159" width="4.85"/>
    <col collapsed="false" customWidth="true" hidden="false" outlineLevel="0" max="18" min="18" style="160" width="10.56"/>
    <col collapsed="false" customWidth="true" hidden="false" outlineLevel="0" max="19" min="19" style="163" width="8.41"/>
    <col collapsed="false" customWidth="true" hidden="false" outlineLevel="0" max="20" min="20" style="163" width="9.99"/>
    <col collapsed="false" customWidth="true" hidden="false" outlineLevel="0" max="21" min="21" style="159" width="7.14"/>
    <col collapsed="false" customWidth="true" hidden="false" outlineLevel="0" max="22" min="22" style="159" width="1.56"/>
    <col collapsed="false" customWidth="false" hidden="false" outlineLevel="0" max="23" min="23" style="159" width="7.99"/>
    <col collapsed="false" customWidth="true" hidden="false" outlineLevel="0" max="24" min="24" style="159" width="2.28"/>
    <col collapsed="false" customWidth="false" hidden="false" outlineLevel="0" max="25" min="25" style="159" width="7.99"/>
    <col collapsed="false" customWidth="true" hidden="false" outlineLevel="0" max="26" min="26" style="159" width="1.56"/>
    <col collapsed="false" customWidth="false" hidden="false" outlineLevel="0" max="257" min="27" style="159" width="7.99"/>
  </cols>
  <sheetData>
    <row r="1" customFormat="false" ht="22.5" hidden="false" customHeight="false" outlineLevel="0" collapsed="false">
      <c r="A1" s="164" t="s">
        <v>167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customFormat="false" ht="90" hidden="false" customHeight="false" outlineLevel="0" collapsed="false">
      <c r="A2" s="165"/>
      <c r="B2" s="166"/>
      <c r="C2" s="165" t="s">
        <v>168</v>
      </c>
      <c r="D2" s="167" t="s">
        <v>169</v>
      </c>
      <c r="E2" s="167" t="s">
        <v>170</v>
      </c>
      <c r="F2" s="167" t="s">
        <v>171</v>
      </c>
      <c r="G2" s="167" t="s">
        <v>172</v>
      </c>
      <c r="H2" s="167" t="s">
        <v>173</v>
      </c>
      <c r="I2" s="167" t="s">
        <v>174</v>
      </c>
      <c r="J2" s="167" t="s">
        <v>175</v>
      </c>
      <c r="K2" s="167" t="s">
        <v>176</v>
      </c>
      <c r="L2" s="167" t="s">
        <v>177</v>
      </c>
      <c r="M2" s="168" t="s">
        <v>178</v>
      </c>
      <c r="N2" s="169" t="n">
        <v>1</v>
      </c>
      <c r="O2" s="168" t="s">
        <v>179</v>
      </c>
      <c r="P2" s="167" t="s">
        <v>180</v>
      </c>
      <c r="Q2" s="167" t="s">
        <v>181</v>
      </c>
      <c r="R2" s="168" t="s">
        <v>182</v>
      </c>
      <c r="S2" s="170" t="s">
        <v>183</v>
      </c>
      <c r="T2" s="170" t="s">
        <v>184</v>
      </c>
      <c r="U2" s="167" t="s">
        <v>185</v>
      </c>
      <c r="V2" s="171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65"/>
      <c r="ES2" s="165"/>
      <c r="ET2" s="165"/>
      <c r="EU2" s="165"/>
      <c r="EV2" s="165"/>
      <c r="EW2" s="165"/>
      <c r="EX2" s="165"/>
      <c r="EY2" s="165"/>
      <c r="EZ2" s="165"/>
      <c r="FA2" s="165"/>
      <c r="FB2" s="165"/>
      <c r="FC2" s="165"/>
      <c r="FD2" s="165"/>
      <c r="FE2" s="165"/>
      <c r="FF2" s="165"/>
      <c r="FG2" s="165"/>
      <c r="FH2" s="165"/>
      <c r="FI2" s="165"/>
      <c r="FJ2" s="165"/>
      <c r="FK2" s="165"/>
      <c r="FL2" s="165"/>
      <c r="FM2" s="165"/>
      <c r="FN2" s="165"/>
      <c r="FO2" s="165"/>
      <c r="FP2" s="165"/>
      <c r="FQ2" s="165"/>
      <c r="FR2" s="165"/>
      <c r="FS2" s="165"/>
      <c r="FT2" s="165"/>
      <c r="FU2" s="165"/>
      <c r="FV2" s="165"/>
      <c r="FW2" s="165"/>
      <c r="FX2" s="165"/>
      <c r="FY2" s="165"/>
      <c r="FZ2" s="165"/>
      <c r="GA2" s="165"/>
      <c r="GB2" s="165"/>
      <c r="GC2" s="165"/>
      <c r="GD2" s="165"/>
      <c r="GE2" s="165"/>
      <c r="GF2" s="165"/>
      <c r="GG2" s="165"/>
      <c r="GH2" s="165"/>
      <c r="GI2" s="165"/>
      <c r="GJ2" s="165"/>
      <c r="GK2" s="165"/>
      <c r="GL2" s="165"/>
      <c r="GM2" s="165"/>
      <c r="GN2" s="165"/>
      <c r="GO2" s="165"/>
      <c r="GP2" s="165"/>
      <c r="GQ2" s="165"/>
      <c r="GR2" s="165"/>
      <c r="GS2" s="165"/>
      <c r="GT2" s="165"/>
      <c r="GU2" s="165"/>
      <c r="GV2" s="165"/>
      <c r="GW2" s="165"/>
      <c r="GX2" s="165"/>
      <c r="GY2" s="165"/>
      <c r="GZ2" s="165"/>
      <c r="HA2" s="165"/>
      <c r="HB2" s="165"/>
      <c r="HC2" s="165"/>
      <c r="HD2" s="165"/>
      <c r="HE2" s="165"/>
      <c r="HF2" s="165"/>
      <c r="HG2" s="165"/>
      <c r="HH2" s="165"/>
      <c r="HI2" s="165"/>
      <c r="HJ2" s="165"/>
      <c r="HK2" s="165"/>
      <c r="HL2" s="165"/>
      <c r="HM2" s="165"/>
      <c r="HN2" s="165"/>
      <c r="HO2" s="165"/>
      <c r="HP2" s="165"/>
      <c r="HQ2" s="165"/>
      <c r="HR2" s="165"/>
      <c r="HS2" s="165"/>
      <c r="HT2" s="165"/>
      <c r="HU2" s="165"/>
      <c r="HV2" s="165"/>
      <c r="HW2" s="165"/>
      <c r="HX2" s="165"/>
      <c r="HY2" s="165"/>
      <c r="HZ2" s="165"/>
      <c r="IA2" s="165"/>
      <c r="IB2" s="165"/>
      <c r="IC2" s="165"/>
      <c r="ID2" s="165"/>
      <c r="IE2" s="165"/>
      <c r="IF2" s="165"/>
      <c r="IG2" s="165"/>
      <c r="IH2" s="165"/>
      <c r="II2" s="165"/>
      <c r="IJ2" s="165"/>
      <c r="IK2" s="165"/>
      <c r="IL2" s="165"/>
      <c r="IM2" s="165"/>
      <c r="IN2" s="165"/>
      <c r="IO2" s="165"/>
      <c r="IP2" s="165"/>
      <c r="IQ2" s="165"/>
      <c r="IR2" s="165"/>
      <c r="IS2" s="165"/>
      <c r="IT2" s="165"/>
      <c r="IU2" s="165"/>
      <c r="IV2" s="165"/>
      <c r="IW2" s="165"/>
    </row>
    <row r="3" customFormat="false" ht="15" hidden="false" customHeight="false" outlineLevel="0" collapsed="false">
      <c r="A3" s="165"/>
      <c r="B3" s="166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72"/>
      <c r="O3" s="172"/>
      <c r="P3" s="173"/>
      <c r="Q3" s="165"/>
      <c r="R3" s="172"/>
      <c r="S3" s="174"/>
      <c r="T3" s="174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65"/>
      <c r="ES3" s="165"/>
      <c r="ET3" s="165"/>
      <c r="EU3" s="165"/>
      <c r="EV3" s="165"/>
      <c r="EW3" s="165"/>
      <c r="EX3" s="165"/>
      <c r="EY3" s="165"/>
      <c r="EZ3" s="165"/>
      <c r="FA3" s="165"/>
      <c r="FB3" s="165"/>
      <c r="FC3" s="165"/>
      <c r="FD3" s="165"/>
      <c r="FE3" s="165"/>
      <c r="FF3" s="165"/>
      <c r="FG3" s="165"/>
      <c r="FH3" s="165"/>
      <c r="FI3" s="165"/>
      <c r="FJ3" s="165"/>
      <c r="FK3" s="165"/>
      <c r="FL3" s="165"/>
      <c r="FM3" s="165"/>
      <c r="FN3" s="165"/>
      <c r="FO3" s="165"/>
      <c r="FP3" s="165"/>
      <c r="FQ3" s="165"/>
      <c r="FR3" s="165"/>
      <c r="FS3" s="165"/>
      <c r="FT3" s="165"/>
      <c r="FU3" s="165"/>
      <c r="FV3" s="165"/>
      <c r="FW3" s="165"/>
      <c r="FX3" s="165"/>
      <c r="FY3" s="165"/>
      <c r="FZ3" s="165"/>
      <c r="GA3" s="165"/>
      <c r="GB3" s="165"/>
      <c r="GC3" s="165"/>
      <c r="GD3" s="165"/>
      <c r="GE3" s="165"/>
      <c r="GF3" s="165"/>
      <c r="GG3" s="165"/>
      <c r="GH3" s="165"/>
      <c r="GI3" s="165"/>
      <c r="GJ3" s="165"/>
      <c r="GK3" s="165"/>
      <c r="GL3" s="165"/>
      <c r="GM3" s="165"/>
      <c r="GN3" s="165"/>
      <c r="GO3" s="165"/>
      <c r="GP3" s="165"/>
      <c r="GQ3" s="165"/>
      <c r="GR3" s="165"/>
      <c r="GS3" s="165"/>
      <c r="GT3" s="165"/>
      <c r="GU3" s="165"/>
      <c r="GV3" s="165"/>
      <c r="GW3" s="165"/>
      <c r="GX3" s="165"/>
      <c r="GY3" s="165"/>
      <c r="GZ3" s="165"/>
      <c r="HA3" s="165"/>
      <c r="HB3" s="165"/>
      <c r="HC3" s="165"/>
      <c r="HD3" s="165"/>
      <c r="HE3" s="165"/>
      <c r="HF3" s="165"/>
      <c r="HG3" s="165"/>
      <c r="HH3" s="165"/>
      <c r="HI3" s="165"/>
      <c r="HJ3" s="165"/>
      <c r="HK3" s="165"/>
      <c r="HL3" s="165"/>
      <c r="HM3" s="165"/>
      <c r="HN3" s="165"/>
      <c r="HO3" s="165"/>
      <c r="HP3" s="165"/>
      <c r="HQ3" s="165"/>
      <c r="HR3" s="165"/>
      <c r="HS3" s="165"/>
      <c r="HT3" s="165"/>
      <c r="HU3" s="165"/>
      <c r="HV3" s="165"/>
      <c r="HW3" s="165"/>
      <c r="HX3" s="165"/>
      <c r="HY3" s="165"/>
      <c r="HZ3" s="165"/>
      <c r="IA3" s="165"/>
      <c r="IB3" s="165"/>
      <c r="IC3" s="165"/>
      <c r="ID3" s="165"/>
      <c r="IE3" s="165"/>
      <c r="IF3" s="165"/>
      <c r="IG3" s="165"/>
      <c r="IH3" s="165"/>
      <c r="II3" s="165"/>
      <c r="IJ3" s="165"/>
      <c r="IK3" s="165"/>
      <c r="IL3" s="165"/>
      <c r="IM3" s="165"/>
      <c r="IN3" s="165"/>
      <c r="IO3" s="165"/>
      <c r="IP3" s="165"/>
      <c r="IQ3" s="165"/>
      <c r="IR3" s="165"/>
      <c r="IS3" s="165"/>
      <c r="IT3" s="165"/>
      <c r="IU3" s="165"/>
      <c r="IV3" s="165"/>
      <c r="IW3" s="165"/>
    </row>
    <row r="4" customFormat="false" ht="15" hidden="false" customHeight="false" outlineLevel="0" collapsed="false">
      <c r="A4" s="165"/>
      <c r="B4" s="158" t="s">
        <v>186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72"/>
      <c r="O4" s="172"/>
      <c r="P4" s="173"/>
      <c r="Q4" s="165"/>
      <c r="R4" s="172"/>
      <c r="S4" s="174"/>
      <c r="T4" s="174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/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  <c r="GS4" s="165"/>
      <c r="GT4" s="165"/>
      <c r="GU4" s="165"/>
      <c r="GV4" s="165"/>
      <c r="GW4" s="165"/>
      <c r="GX4" s="165"/>
      <c r="GY4" s="165"/>
      <c r="GZ4" s="165"/>
      <c r="HA4" s="165"/>
      <c r="HB4" s="165"/>
      <c r="HC4" s="165"/>
      <c r="HD4" s="165"/>
      <c r="HE4" s="165"/>
      <c r="HF4" s="165"/>
      <c r="HG4" s="165"/>
      <c r="HH4" s="165"/>
      <c r="HI4" s="165"/>
      <c r="HJ4" s="165"/>
      <c r="HK4" s="165"/>
      <c r="HL4" s="165"/>
      <c r="HM4" s="165"/>
      <c r="HN4" s="165"/>
      <c r="HO4" s="165"/>
      <c r="HP4" s="165"/>
      <c r="HQ4" s="165"/>
      <c r="HR4" s="165"/>
      <c r="HS4" s="165"/>
      <c r="HT4" s="165"/>
      <c r="HU4" s="165"/>
      <c r="HV4" s="165"/>
      <c r="HW4" s="165"/>
      <c r="HX4" s="165"/>
      <c r="HY4" s="165"/>
      <c r="HZ4" s="165"/>
      <c r="IA4" s="165"/>
      <c r="IB4" s="165"/>
      <c r="IC4" s="165"/>
      <c r="ID4" s="165"/>
      <c r="IE4" s="165"/>
      <c r="IF4" s="165"/>
      <c r="IG4" s="165"/>
      <c r="IH4" s="165"/>
      <c r="II4" s="165"/>
      <c r="IJ4" s="165"/>
      <c r="IK4" s="165"/>
      <c r="IL4" s="165"/>
      <c r="IM4" s="165"/>
      <c r="IN4" s="165"/>
      <c r="IO4" s="165"/>
      <c r="IP4" s="165"/>
      <c r="IQ4" s="165"/>
      <c r="IR4" s="165"/>
      <c r="IS4" s="165"/>
      <c r="IT4" s="165"/>
      <c r="IU4" s="165"/>
      <c r="IV4" s="165"/>
      <c r="IW4" s="165"/>
    </row>
    <row r="5" customFormat="false" ht="15" hidden="false" customHeight="false" outlineLevel="0" collapsed="false">
      <c r="C5" s="159" t="s">
        <v>187</v>
      </c>
      <c r="D5" s="159" t="s">
        <v>187</v>
      </c>
      <c r="E5" s="159" t="s">
        <v>188</v>
      </c>
      <c r="F5" s="159" t="s">
        <v>189</v>
      </c>
      <c r="G5" s="159" t="s">
        <v>190</v>
      </c>
      <c r="H5" s="159" t="s">
        <v>191</v>
      </c>
      <c r="I5" s="159" t="s">
        <v>192</v>
      </c>
      <c r="J5" s="159" t="n">
        <v>1958</v>
      </c>
      <c r="K5" s="159" t="n">
        <v>543.25</v>
      </c>
      <c r="L5" s="159" t="n">
        <v>545.5</v>
      </c>
      <c r="M5" s="160" t="n">
        <f aca="false">MAX(K5:L5)</f>
        <v>545.5</v>
      </c>
      <c r="O5" s="160" t="n">
        <v>60.6666666666667</v>
      </c>
      <c r="P5" s="162" t="s">
        <v>193</v>
      </c>
      <c r="R5" s="160" t="n">
        <v>9534.66666666667</v>
      </c>
      <c r="S5" s="163" t="n">
        <v>10.95</v>
      </c>
      <c r="T5" s="163" t="n">
        <v>0.86</v>
      </c>
      <c r="U5" s="159" t="s">
        <v>194</v>
      </c>
    </row>
    <row r="6" customFormat="false" ht="15" hidden="false" customHeight="false" outlineLevel="0" collapsed="false">
      <c r="C6" s="159" t="s">
        <v>187</v>
      </c>
      <c r="D6" s="159" t="s">
        <v>187</v>
      </c>
      <c r="E6" s="159" t="s">
        <v>188</v>
      </c>
      <c r="F6" s="159" t="s">
        <v>189</v>
      </c>
      <c r="G6" s="159" t="s">
        <v>190</v>
      </c>
      <c r="H6" s="159" t="s">
        <v>191</v>
      </c>
      <c r="I6" s="159" t="s">
        <v>195</v>
      </c>
      <c r="J6" s="159" t="n">
        <v>1952</v>
      </c>
      <c r="K6" s="159" t="n">
        <v>316</v>
      </c>
      <c r="L6" s="159" t="n">
        <v>316</v>
      </c>
      <c r="M6" s="160" t="n">
        <f aca="false">MAX(K6:L6)</f>
        <v>316</v>
      </c>
      <c r="O6" s="160" t="n">
        <v>45</v>
      </c>
      <c r="P6" s="162" t="s">
        <v>193</v>
      </c>
      <c r="R6" s="160" t="n">
        <v>9888</v>
      </c>
      <c r="S6" s="163" t="n">
        <v>10.95</v>
      </c>
      <c r="T6" s="163" t="n">
        <v>0.86</v>
      </c>
      <c r="U6" s="159" t="s">
        <v>194</v>
      </c>
    </row>
    <row r="7" customFormat="false" ht="15" hidden="false" customHeight="false" outlineLevel="0" collapsed="false">
      <c r="C7" s="159" t="s">
        <v>196</v>
      </c>
      <c r="D7" s="159" t="s">
        <v>196</v>
      </c>
      <c r="E7" s="159" t="s">
        <v>197</v>
      </c>
      <c r="F7" s="159" t="s">
        <v>198</v>
      </c>
      <c r="G7" s="159" t="s">
        <v>190</v>
      </c>
      <c r="H7" s="159" t="s">
        <v>191</v>
      </c>
      <c r="I7" s="159" t="s">
        <v>192</v>
      </c>
      <c r="J7" s="159" t="n">
        <v>1970</v>
      </c>
      <c r="K7" s="159" t="n">
        <v>980</v>
      </c>
      <c r="L7" s="159" t="n">
        <v>990</v>
      </c>
      <c r="M7" s="160" t="n">
        <f aca="false">MAX(K7:L7)</f>
        <v>990</v>
      </c>
      <c r="O7" s="160" t="n">
        <v>63</v>
      </c>
      <c r="P7" s="162" t="s">
        <v>193</v>
      </c>
      <c r="R7" s="160" t="n">
        <v>9946.5</v>
      </c>
      <c r="S7" s="163" t="n">
        <v>11.68</v>
      </c>
      <c r="T7" s="163" t="n">
        <v>0.52</v>
      </c>
      <c r="U7" s="159" t="s">
        <v>194</v>
      </c>
    </row>
    <row r="8" customFormat="false" ht="15" hidden="false" customHeight="false" outlineLevel="0" collapsed="false">
      <c r="C8" s="159" t="s">
        <v>199</v>
      </c>
      <c r="D8" s="159" t="s">
        <v>187</v>
      </c>
      <c r="E8" s="159" t="s">
        <v>200</v>
      </c>
      <c r="F8" s="159" t="s">
        <v>189</v>
      </c>
      <c r="G8" s="159" t="s">
        <v>190</v>
      </c>
      <c r="H8" s="159" t="s">
        <v>191</v>
      </c>
      <c r="I8" s="159" t="s">
        <v>192</v>
      </c>
      <c r="J8" s="159" t="n">
        <v>1973</v>
      </c>
      <c r="K8" s="159" t="n">
        <v>312</v>
      </c>
      <c r="L8" s="159" t="n">
        <v>312</v>
      </c>
      <c r="M8" s="160" t="n">
        <f aca="false">MAX(K8:L8)</f>
        <v>312</v>
      </c>
      <c r="O8" s="160" t="n">
        <v>69</v>
      </c>
      <c r="P8" s="162" t="s">
        <v>193</v>
      </c>
      <c r="R8" s="160" t="n">
        <v>9429</v>
      </c>
      <c r="S8" s="163" t="n">
        <v>14.13</v>
      </c>
      <c r="T8" s="163" t="n">
        <v>1.18</v>
      </c>
      <c r="U8" s="159" t="s">
        <v>194</v>
      </c>
    </row>
    <row r="9" customFormat="false" ht="15" hidden="false" customHeight="false" outlineLevel="0" collapsed="false">
      <c r="C9" s="159" t="s">
        <v>187</v>
      </c>
      <c r="D9" s="159" t="s">
        <v>187</v>
      </c>
      <c r="E9" s="159" t="s">
        <v>201</v>
      </c>
      <c r="F9" s="159" t="s">
        <v>202</v>
      </c>
      <c r="G9" s="159" t="s">
        <v>190</v>
      </c>
      <c r="H9" s="159" t="s">
        <v>191</v>
      </c>
      <c r="I9" s="159" t="s">
        <v>192</v>
      </c>
      <c r="J9" s="159" t="n">
        <v>1981</v>
      </c>
      <c r="K9" s="159" t="n">
        <v>414</v>
      </c>
      <c r="L9" s="159" t="n">
        <v>414</v>
      </c>
      <c r="M9" s="160" t="n">
        <f aca="false">MAX(K9:L9)</f>
        <v>414</v>
      </c>
      <c r="O9" s="160" t="n">
        <v>69</v>
      </c>
      <c r="P9" s="162" t="s">
        <v>193</v>
      </c>
      <c r="R9" s="160" t="n">
        <v>9945</v>
      </c>
      <c r="S9" s="163" t="n">
        <v>11.3</v>
      </c>
      <c r="T9" s="163" t="n">
        <v>0.86</v>
      </c>
      <c r="U9" s="159" t="s">
        <v>194</v>
      </c>
    </row>
    <row r="10" customFormat="false" ht="15" hidden="false" customHeight="false" outlineLevel="0" collapsed="false">
      <c r="C10" s="159" t="s">
        <v>196</v>
      </c>
      <c r="D10" s="159" t="s">
        <v>196</v>
      </c>
      <c r="E10" s="159" t="s">
        <v>203</v>
      </c>
      <c r="F10" s="159" t="s">
        <v>198</v>
      </c>
      <c r="G10" s="159" t="s">
        <v>190</v>
      </c>
      <c r="H10" s="159" t="s">
        <v>191</v>
      </c>
      <c r="I10" s="159" t="s">
        <v>195</v>
      </c>
      <c r="J10" s="159" t="n">
        <v>1949</v>
      </c>
      <c r="K10" s="159" t="n">
        <v>120</v>
      </c>
      <c r="L10" s="159" t="n">
        <v>120</v>
      </c>
      <c r="M10" s="160" t="n">
        <f aca="false">MAX(K10:L10)</f>
        <v>120</v>
      </c>
      <c r="O10" s="160" t="n">
        <v>39</v>
      </c>
      <c r="P10" s="162" t="s">
        <v>193</v>
      </c>
      <c r="R10" s="160" t="n">
        <v>12740.5</v>
      </c>
      <c r="S10" s="163" t="n">
        <v>12.85</v>
      </c>
      <c r="T10" s="163" t="n">
        <v>1.33</v>
      </c>
      <c r="U10" s="159" t="s">
        <v>194</v>
      </c>
    </row>
    <row r="11" customFormat="false" ht="15" hidden="false" customHeight="false" outlineLevel="0" collapsed="false">
      <c r="C11" s="159" t="s">
        <v>196</v>
      </c>
      <c r="D11" s="159" t="s">
        <v>196</v>
      </c>
      <c r="E11" s="159" t="s">
        <v>204</v>
      </c>
      <c r="F11" s="159" t="s">
        <v>198</v>
      </c>
      <c r="G11" s="159" t="s">
        <v>190</v>
      </c>
      <c r="H11" s="159" t="s">
        <v>191</v>
      </c>
      <c r="I11" s="159" t="s">
        <v>195</v>
      </c>
      <c r="J11" s="159" t="n">
        <v>1958</v>
      </c>
      <c r="K11" s="159" t="n">
        <v>560</v>
      </c>
      <c r="L11" s="159" t="n">
        <v>560</v>
      </c>
      <c r="M11" s="160" t="n">
        <f aca="false">MAX(K11:L11)</f>
        <v>560</v>
      </c>
      <c r="O11" s="160" t="n">
        <v>57</v>
      </c>
      <c r="P11" s="162" t="s">
        <v>193</v>
      </c>
      <c r="R11" s="160" t="n">
        <v>10245.25</v>
      </c>
      <c r="S11" s="163" t="n">
        <v>11.31</v>
      </c>
      <c r="T11" s="163" t="n">
        <v>0.86</v>
      </c>
      <c r="U11" s="159" t="s">
        <v>194</v>
      </c>
    </row>
    <row r="12" customFormat="false" ht="15" hidden="false" customHeight="false" outlineLevel="0" collapsed="false">
      <c r="C12" s="159" t="s">
        <v>196</v>
      </c>
      <c r="D12" s="159" t="s">
        <v>196</v>
      </c>
      <c r="E12" s="159" t="s">
        <v>205</v>
      </c>
      <c r="F12" s="159" t="s">
        <v>198</v>
      </c>
      <c r="G12" s="159" t="s">
        <v>190</v>
      </c>
      <c r="H12" s="159" t="s">
        <v>191</v>
      </c>
      <c r="I12" s="159" t="s">
        <v>192</v>
      </c>
      <c r="J12" s="159" t="n">
        <v>1975</v>
      </c>
      <c r="K12" s="159" t="n">
        <v>2821.81</v>
      </c>
      <c r="L12" s="159" t="n">
        <v>2844.81</v>
      </c>
      <c r="M12" s="160" t="n">
        <f aca="false">MAX(K12:L12)</f>
        <v>2844.81</v>
      </c>
      <c r="O12" s="160" t="n">
        <v>69</v>
      </c>
      <c r="P12" s="162" t="s">
        <v>193</v>
      </c>
      <c r="R12" s="160" t="n">
        <v>9859.8</v>
      </c>
      <c r="S12" s="163" t="n">
        <v>10.96</v>
      </c>
      <c r="T12" s="163" t="n">
        <v>0.57</v>
      </c>
      <c r="U12" s="159" t="s">
        <v>194</v>
      </c>
    </row>
    <row r="13" customFormat="false" ht="15" hidden="false" customHeight="false" outlineLevel="0" collapsed="false">
      <c r="C13" s="159" t="s">
        <v>206</v>
      </c>
      <c r="D13" s="159" t="s">
        <v>187</v>
      </c>
      <c r="E13" s="159" t="s">
        <v>207</v>
      </c>
      <c r="F13" s="159" t="s">
        <v>189</v>
      </c>
      <c r="G13" s="159" t="s">
        <v>190</v>
      </c>
      <c r="H13" s="159" t="s">
        <v>191</v>
      </c>
      <c r="I13" s="159" t="s">
        <v>195</v>
      </c>
      <c r="J13" s="159" t="n">
        <v>1982</v>
      </c>
      <c r="K13" s="159" t="n">
        <v>198</v>
      </c>
      <c r="L13" s="159" t="n">
        <v>198</v>
      </c>
      <c r="M13" s="160" t="n">
        <f aca="false">MAX(K13:L13)</f>
        <v>198</v>
      </c>
      <c r="O13" s="160" t="n">
        <v>69</v>
      </c>
      <c r="P13" s="162" t="s">
        <v>193</v>
      </c>
      <c r="R13" s="160" t="n">
        <v>9337</v>
      </c>
      <c r="S13" s="163" t="n">
        <v>12.84</v>
      </c>
      <c r="T13" s="163" t="n">
        <v>0.54</v>
      </c>
      <c r="U13" s="159" t="s">
        <v>194</v>
      </c>
    </row>
    <row r="14" customFormat="false" ht="15" hidden="false" customHeight="false" outlineLevel="0" collapsed="false">
      <c r="C14" s="159" t="s">
        <v>187</v>
      </c>
      <c r="D14" s="159" t="s">
        <v>187</v>
      </c>
      <c r="E14" s="159" t="s">
        <v>208</v>
      </c>
      <c r="F14" s="159" t="s">
        <v>189</v>
      </c>
      <c r="G14" s="159" t="s">
        <v>190</v>
      </c>
      <c r="H14" s="159" t="s">
        <v>191</v>
      </c>
      <c r="I14" s="159" t="s">
        <v>192</v>
      </c>
      <c r="J14" s="159" t="n">
        <v>1960</v>
      </c>
      <c r="K14" s="159" t="n">
        <v>803</v>
      </c>
      <c r="L14" s="159" t="n">
        <v>803</v>
      </c>
      <c r="M14" s="160" t="n">
        <f aca="false">MAX(K14:L14)</f>
        <v>803</v>
      </c>
      <c r="O14" s="160" t="n">
        <v>61</v>
      </c>
      <c r="P14" s="162" t="s">
        <v>193</v>
      </c>
      <c r="R14" s="160" t="n">
        <v>9666.66666666667</v>
      </c>
      <c r="S14" s="163" t="n">
        <v>12.38</v>
      </c>
      <c r="T14" s="163" t="n">
        <v>0.68</v>
      </c>
      <c r="U14" s="159" t="s">
        <v>194</v>
      </c>
    </row>
    <row r="15" customFormat="false" ht="15" hidden="false" customHeight="false" outlineLevel="0" collapsed="false">
      <c r="C15" s="159" t="s">
        <v>187</v>
      </c>
      <c r="D15" s="159" t="s">
        <v>187</v>
      </c>
      <c r="E15" s="159" t="s">
        <v>208</v>
      </c>
      <c r="F15" s="159" t="s">
        <v>189</v>
      </c>
      <c r="G15" s="159" t="s">
        <v>190</v>
      </c>
      <c r="H15" s="159" t="s">
        <v>191</v>
      </c>
      <c r="I15" s="159" t="s">
        <v>195</v>
      </c>
      <c r="J15" s="159" t="n">
        <v>1949</v>
      </c>
      <c r="K15" s="159" t="n">
        <v>80</v>
      </c>
      <c r="L15" s="159" t="n">
        <v>80</v>
      </c>
      <c r="M15" s="160" t="n">
        <f aca="false">MAX(K15:L15)</f>
        <v>80</v>
      </c>
      <c r="O15" s="160" t="n">
        <v>39</v>
      </c>
      <c r="P15" s="162" t="s">
        <v>193</v>
      </c>
      <c r="R15" s="160" t="n">
        <v>12206</v>
      </c>
      <c r="S15" s="163" t="n">
        <v>12.38</v>
      </c>
      <c r="T15" s="163" t="n">
        <v>0.68</v>
      </c>
      <c r="U15" s="159" t="s">
        <v>194</v>
      </c>
    </row>
    <row r="16" customFormat="false" ht="15" hidden="false" customHeight="false" outlineLevel="0" collapsed="false">
      <c r="C16" s="159" t="s">
        <v>196</v>
      </c>
      <c r="D16" s="159" t="s">
        <v>196</v>
      </c>
      <c r="E16" s="159" t="s">
        <v>209</v>
      </c>
      <c r="F16" s="159" t="s">
        <v>198</v>
      </c>
      <c r="G16" s="159" t="s">
        <v>190</v>
      </c>
      <c r="H16" s="159" t="s">
        <v>191</v>
      </c>
      <c r="I16" s="159" t="s">
        <v>195</v>
      </c>
      <c r="J16" s="159" t="n">
        <v>1950</v>
      </c>
      <c r="K16" s="159" t="n">
        <v>90</v>
      </c>
      <c r="L16" s="159" t="n">
        <v>90</v>
      </c>
      <c r="M16" s="160" t="n">
        <f aca="false">MAX(K16:L16)</f>
        <v>90</v>
      </c>
      <c r="O16" s="160" t="n">
        <v>39</v>
      </c>
      <c r="P16" s="162" t="s">
        <v>193</v>
      </c>
      <c r="R16" s="160" t="n">
        <v>12262</v>
      </c>
      <c r="S16" s="163" t="n">
        <v>15.52</v>
      </c>
      <c r="T16" s="163" t="n">
        <v>2.36</v>
      </c>
      <c r="U16" s="159" t="s">
        <v>194</v>
      </c>
    </row>
    <row r="17" customFormat="false" ht="15" hidden="false" customHeight="false" outlineLevel="0" collapsed="false">
      <c r="C17" s="159" t="s">
        <v>206</v>
      </c>
      <c r="D17" s="159" t="s">
        <v>187</v>
      </c>
      <c r="E17" s="159" t="s">
        <v>210</v>
      </c>
      <c r="F17" s="159" t="s">
        <v>189</v>
      </c>
      <c r="G17" s="159" t="s">
        <v>190</v>
      </c>
      <c r="H17" s="159" t="s">
        <v>191</v>
      </c>
      <c r="I17" s="159" t="s">
        <v>192</v>
      </c>
      <c r="J17" s="159" t="n">
        <v>1970</v>
      </c>
      <c r="K17" s="159" t="n">
        <v>912.6</v>
      </c>
      <c r="L17" s="159" t="n">
        <v>912.6</v>
      </c>
      <c r="M17" s="160" t="n">
        <f aca="false">MAX(K17:L17)</f>
        <v>912.6</v>
      </c>
      <c r="O17" s="160" t="n">
        <v>63</v>
      </c>
      <c r="P17" s="162" t="s">
        <v>193</v>
      </c>
      <c r="R17" s="160" t="n">
        <v>9300.5</v>
      </c>
      <c r="S17" s="163" t="n">
        <v>11.92</v>
      </c>
      <c r="T17" s="163" t="n">
        <v>0.67</v>
      </c>
      <c r="U17" s="159" t="s">
        <v>194</v>
      </c>
    </row>
    <row r="18" customFormat="false" ht="15" hidden="false" customHeight="false" outlineLevel="0" collapsed="false">
      <c r="C18" s="159" t="s">
        <v>187</v>
      </c>
      <c r="D18" s="159" t="s">
        <v>187</v>
      </c>
      <c r="E18" s="159" t="s">
        <v>211</v>
      </c>
      <c r="F18" s="159" t="s">
        <v>189</v>
      </c>
      <c r="G18" s="159" t="s">
        <v>190</v>
      </c>
      <c r="H18" s="159" t="s">
        <v>191</v>
      </c>
      <c r="I18" s="159" t="s">
        <v>192</v>
      </c>
      <c r="J18" s="159" t="n">
        <v>1991</v>
      </c>
      <c r="K18" s="159" t="n">
        <v>604.5</v>
      </c>
      <c r="L18" s="159" t="n">
        <v>604.5</v>
      </c>
      <c r="M18" s="160" t="n">
        <f aca="false">MAX(K18:L18)</f>
        <v>604.5</v>
      </c>
      <c r="O18" s="160" t="n">
        <v>61</v>
      </c>
      <c r="P18" s="162" t="s">
        <v>193</v>
      </c>
      <c r="R18" s="160" t="n">
        <v>9522</v>
      </c>
      <c r="S18" s="163" t="n">
        <v>10.3</v>
      </c>
      <c r="T18" s="163" t="n">
        <v>0.77</v>
      </c>
      <c r="U18" s="159" t="s">
        <v>194</v>
      </c>
    </row>
    <row r="19" customFormat="false" ht="15" hidden="false" customHeight="false" outlineLevel="0" collapsed="false">
      <c r="C19" s="159" t="s">
        <v>196</v>
      </c>
      <c r="D19" s="159" t="s">
        <v>196</v>
      </c>
      <c r="E19" s="159" t="s">
        <v>212</v>
      </c>
      <c r="F19" s="159" t="s">
        <v>198</v>
      </c>
      <c r="G19" s="159" t="s">
        <v>190</v>
      </c>
      <c r="H19" s="159" t="s">
        <v>191</v>
      </c>
      <c r="I19" s="159" t="s">
        <v>192</v>
      </c>
      <c r="J19" s="159" t="n">
        <v>1968</v>
      </c>
      <c r="K19" s="159" t="n">
        <v>318</v>
      </c>
      <c r="L19" s="159" t="n">
        <v>318</v>
      </c>
      <c r="M19" s="160" t="n">
        <f aca="false">MAX(K19:L19)</f>
        <v>318</v>
      </c>
      <c r="O19" s="160" t="n">
        <v>59</v>
      </c>
      <c r="P19" s="162" t="s">
        <v>193</v>
      </c>
      <c r="R19" s="160" t="n">
        <v>10274</v>
      </c>
      <c r="S19" s="163" t="n">
        <v>11.54</v>
      </c>
      <c r="T19" s="163" t="n">
        <v>0.96</v>
      </c>
      <c r="U19" s="159" t="s">
        <v>194</v>
      </c>
    </row>
    <row r="20" customFormat="false" ht="15" hidden="false" customHeight="false" outlineLevel="0" collapsed="false">
      <c r="C20" s="159" t="s">
        <v>196</v>
      </c>
      <c r="D20" s="159" t="s">
        <v>196</v>
      </c>
      <c r="E20" s="159" t="s">
        <v>212</v>
      </c>
      <c r="F20" s="159" t="s">
        <v>198</v>
      </c>
      <c r="G20" s="159" t="s">
        <v>190</v>
      </c>
      <c r="H20" s="159" t="s">
        <v>191</v>
      </c>
      <c r="I20" s="159" t="s">
        <v>195</v>
      </c>
      <c r="J20" s="159" t="n">
        <v>1953</v>
      </c>
      <c r="K20" s="159" t="n">
        <v>350</v>
      </c>
      <c r="L20" s="159" t="n">
        <v>350</v>
      </c>
      <c r="M20" s="160" t="n">
        <f aca="false">MAX(K20:L20)</f>
        <v>350</v>
      </c>
      <c r="O20" s="160" t="n">
        <v>39</v>
      </c>
      <c r="P20" s="162" t="s">
        <v>193</v>
      </c>
      <c r="R20" s="160" t="n">
        <v>10499.75</v>
      </c>
      <c r="S20" s="163" t="n">
        <v>11.54</v>
      </c>
      <c r="T20" s="163" t="n">
        <v>1.33</v>
      </c>
      <c r="U20" s="159" t="s">
        <v>194</v>
      </c>
    </row>
    <row r="21" customFormat="false" ht="15" hidden="false" customHeight="false" outlineLevel="0" collapsed="false">
      <c r="D21" s="175" t="s">
        <v>213</v>
      </c>
      <c r="K21" s="159" t="n">
        <f aca="false">SUM(K5:K20)</f>
        <v>9423.16</v>
      </c>
      <c r="L21" s="159" t="n">
        <f aca="false">SUM(L5:L20)</f>
        <v>9458.41</v>
      </c>
      <c r="M21" s="176" t="n">
        <f aca="false">SUM(M5:M20)</f>
        <v>9458.41</v>
      </c>
    </row>
    <row r="22" customFormat="false" ht="15" hidden="false" customHeight="false" outlineLevel="0" collapsed="false">
      <c r="B22" s="158" t="s">
        <v>214</v>
      </c>
    </row>
    <row r="23" customFormat="false" ht="15" hidden="false" customHeight="false" outlineLevel="0" collapsed="false">
      <c r="C23" s="159" t="s">
        <v>196</v>
      </c>
      <c r="D23" s="159" t="s">
        <v>196</v>
      </c>
      <c r="E23" s="159" t="s">
        <v>197</v>
      </c>
      <c r="F23" s="159" t="s">
        <v>198</v>
      </c>
      <c r="G23" s="159" t="s">
        <v>190</v>
      </c>
      <c r="H23" s="159" t="s">
        <v>102</v>
      </c>
      <c r="I23" s="159" t="s">
        <v>87</v>
      </c>
      <c r="J23" s="159" t="n">
        <v>1993</v>
      </c>
      <c r="K23" s="159" t="n">
        <v>99</v>
      </c>
      <c r="L23" s="159" t="n">
        <v>120</v>
      </c>
      <c r="M23" s="160" t="n">
        <f aca="false">MAX(K23:L23)</f>
        <v>120</v>
      </c>
      <c r="O23" s="160" t="n">
        <v>3</v>
      </c>
      <c r="P23" s="162" t="s">
        <v>193</v>
      </c>
      <c r="R23" s="160" t="n">
        <v>12293</v>
      </c>
      <c r="S23" s="163" t="n">
        <v>29.39</v>
      </c>
      <c r="T23" s="163" t="n">
        <v>1.39</v>
      </c>
      <c r="U23" s="159" t="s">
        <v>215</v>
      </c>
    </row>
    <row r="24" customFormat="false" ht="15" hidden="false" customHeight="false" outlineLevel="0" collapsed="false">
      <c r="C24" s="159" t="s">
        <v>187</v>
      </c>
      <c r="D24" s="159" t="s">
        <v>187</v>
      </c>
      <c r="E24" s="159" t="s">
        <v>216</v>
      </c>
      <c r="F24" s="159" t="s">
        <v>189</v>
      </c>
      <c r="G24" s="159" t="s">
        <v>190</v>
      </c>
      <c r="H24" s="159" t="s">
        <v>102</v>
      </c>
      <c r="I24" s="159" t="s">
        <v>87</v>
      </c>
      <c r="J24" s="159" t="n">
        <v>1969</v>
      </c>
      <c r="K24" s="159" t="n">
        <v>14.2</v>
      </c>
      <c r="L24" s="159" t="n">
        <v>19.5</v>
      </c>
      <c r="M24" s="160" t="n">
        <f aca="false">MAX(K24:L24)</f>
        <v>19.5</v>
      </c>
      <c r="O24" s="160" t="n">
        <v>1</v>
      </c>
      <c r="P24" s="162" t="s">
        <v>193</v>
      </c>
      <c r="R24" s="160" t="n">
        <v>13328</v>
      </c>
      <c r="S24" s="163" t="n">
        <v>72.86</v>
      </c>
      <c r="T24" s="163" t="n">
        <v>3.74</v>
      </c>
      <c r="U24" s="159" t="s">
        <v>215</v>
      </c>
    </row>
    <row r="25" customFormat="false" ht="15" hidden="false" customHeight="false" outlineLevel="0" collapsed="false">
      <c r="C25" s="159" t="s">
        <v>187</v>
      </c>
      <c r="D25" s="159" t="s">
        <v>187</v>
      </c>
      <c r="E25" s="159" t="s">
        <v>216</v>
      </c>
      <c r="F25" s="159" t="s">
        <v>189</v>
      </c>
      <c r="G25" s="159" t="s">
        <v>190</v>
      </c>
      <c r="H25" s="159" t="s">
        <v>102</v>
      </c>
      <c r="I25" s="159" t="s">
        <v>87</v>
      </c>
      <c r="J25" s="159" t="n">
        <v>1965</v>
      </c>
      <c r="K25" s="159" t="n">
        <v>92</v>
      </c>
      <c r="L25" s="159" t="n">
        <v>110</v>
      </c>
      <c r="M25" s="160" t="n">
        <f aca="false">MAX(K25:L25)</f>
        <v>110</v>
      </c>
      <c r="O25" s="160" t="n">
        <v>1</v>
      </c>
      <c r="P25" s="162" t="s">
        <v>193</v>
      </c>
      <c r="R25" s="160" t="n">
        <v>14544</v>
      </c>
      <c r="S25" s="163" t="n">
        <v>72.86</v>
      </c>
      <c r="T25" s="163" t="n">
        <v>3.74</v>
      </c>
      <c r="U25" s="159" t="s">
        <v>217</v>
      </c>
    </row>
    <row r="26" customFormat="false" ht="15" hidden="false" customHeight="false" outlineLevel="0" collapsed="false">
      <c r="C26" s="159" t="s">
        <v>196</v>
      </c>
      <c r="D26" s="159" t="s">
        <v>196</v>
      </c>
      <c r="E26" s="159" t="s">
        <v>212</v>
      </c>
      <c r="F26" s="159" t="s">
        <v>198</v>
      </c>
      <c r="G26" s="159" t="s">
        <v>190</v>
      </c>
      <c r="H26" s="159" t="s">
        <v>102</v>
      </c>
      <c r="I26" s="159" t="s">
        <v>218</v>
      </c>
      <c r="J26" s="159" t="n">
        <v>1995</v>
      </c>
      <c r="K26" s="159" t="n">
        <v>228</v>
      </c>
      <c r="L26" s="159" t="n">
        <v>262</v>
      </c>
      <c r="M26" s="160" t="n">
        <f aca="false">MAX(K26:L26)</f>
        <v>262</v>
      </c>
      <c r="O26" s="160" t="n">
        <v>38</v>
      </c>
      <c r="P26" s="162" t="s">
        <v>193</v>
      </c>
      <c r="R26" s="160" t="n">
        <v>9450</v>
      </c>
      <c r="S26" s="163" t="n">
        <v>1.12</v>
      </c>
      <c r="T26" s="163" t="n">
        <v>0.99</v>
      </c>
      <c r="U26" s="159" t="s">
        <v>219</v>
      </c>
    </row>
    <row r="27" customFormat="false" ht="15" hidden="false" customHeight="false" outlineLevel="0" collapsed="false">
      <c r="C27" s="159" t="s">
        <v>187</v>
      </c>
      <c r="D27" s="159" t="s">
        <v>187</v>
      </c>
      <c r="E27" s="159" t="s">
        <v>220</v>
      </c>
      <c r="F27" s="159" t="s">
        <v>189</v>
      </c>
      <c r="G27" s="159" t="s">
        <v>190</v>
      </c>
      <c r="H27" s="159" t="s">
        <v>102</v>
      </c>
      <c r="I27" s="159" t="s">
        <v>87</v>
      </c>
      <c r="J27" s="159" t="n">
        <v>1992</v>
      </c>
      <c r="K27" s="159" t="n">
        <v>462</v>
      </c>
      <c r="L27" s="159" t="n">
        <v>564</v>
      </c>
      <c r="M27" s="160" t="n">
        <f aca="false">MAX(K27:L27)</f>
        <v>564</v>
      </c>
      <c r="O27" s="160" t="n">
        <v>3</v>
      </c>
      <c r="P27" s="162" t="s">
        <v>193</v>
      </c>
      <c r="R27" s="160" t="n">
        <v>12545</v>
      </c>
      <c r="S27" s="163" t="n">
        <v>57</v>
      </c>
      <c r="T27" s="163" t="n">
        <v>2.8</v>
      </c>
      <c r="U27" s="159" t="s">
        <v>215</v>
      </c>
    </row>
    <row r="28" customFormat="false" ht="15" hidden="false" customHeight="false" outlineLevel="0" collapsed="false">
      <c r="C28" s="159" t="s">
        <v>187</v>
      </c>
      <c r="D28" s="159" t="s">
        <v>187</v>
      </c>
      <c r="E28" s="159" t="s">
        <v>188</v>
      </c>
      <c r="F28" s="159" t="s">
        <v>189</v>
      </c>
      <c r="G28" s="159" t="s">
        <v>190</v>
      </c>
      <c r="H28" s="159" t="s">
        <v>221</v>
      </c>
      <c r="I28" s="159" t="s">
        <v>87</v>
      </c>
      <c r="J28" s="159" t="n">
        <v>1972</v>
      </c>
      <c r="K28" s="159" t="n">
        <v>186</v>
      </c>
      <c r="L28" s="159" t="n">
        <v>244</v>
      </c>
      <c r="M28" s="160" t="n">
        <f aca="false">MAX(K28:L28)</f>
        <v>244</v>
      </c>
      <c r="O28" s="160" t="n">
        <v>3</v>
      </c>
      <c r="P28" s="162" t="s">
        <v>193</v>
      </c>
      <c r="R28" s="160" t="n">
        <v>11566</v>
      </c>
      <c r="S28" s="163" t="n">
        <v>31.94</v>
      </c>
      <c r="T28" s="163" t="n">
        <v>2.04</v>
      </c>
      <c r="U28" s="159" t="s">
        <v>215</v>
      </c>
    </row>
    <row r="29" customFormat="false" ht="15" hidden="false" customHeight="false" outlineLevel="0" collapsed="false">
      <c r="C29" s="159" t="s">
        <v>196</v>
      </c>
      <c r="D29" s="159" t="s">
        <v>196</v>
      </c>
      <c r="E29" s="159" t="s">
        <v>197</v>
      </c>
      <c r="F29" s="159" t="s">
        <v>198</v>
      </c>
      <c r="G29" s="159" t="s">
        <v>190</v>
      </c>
      <c r="H29" s="159" t="s">
        <v>221</v>
      </c>
      <c r="I29" s="159" t="s">
        <v>87</v>
      </c>
      <c r="J29" s="159" t="n">
        <v>1972</v>
      </c>
      <c r="K29" s="159" t="n">
        <v>10</v>
      </c>
      <c r="L29" s="159" t="n">
        <v>11</v>
      </c>
      <c r="M29" s="160" t="n">
        <f aca="false">MAX(K29:L29)</f>
        <v>11</v>
      </c>
      <c r="O29" s="160" t="n">
        <v>1</v>
      </c>
      <c r="P29" s="162" t="s">
        <v>193</v>
      </c>
      <c r="R29" s="160" t="n">
        <v>10160</v>
      </c>
      <c r="S29" s="163" t="n">
        <v>0.81</v>
      </c>
      <c r="T29" s="163" t="n">
        <v>1.39</v>
      </c>
      <c r="U29" s="159" t="s">
        <v>222</v>
      </c>
    </row>
    <row r="30" customFormat="false" ht="15" hidden="false" customHeight="false" outlineLevel="0" collapsed="false">
      <c r="C30" s="159" t="s">
        <v>196</v>
      </c>
      <c r="D30" s="159" t="s">
        <v>196</v>
      </c>
      <c r="E30" s="159" t="s">
        <v>223</v>
      </c>
      <c r="F30" s="159" t="s">
        <v>198</v>
      </c>
      <c r="G30" s="159" t="s">
        <v>190</v>
      </c>
      <c r="H30" s="159" t="s">
        <v>221</v>
      </c>
      <c r="I30" s="159" t="s">
        <v>87</v>
      </c>
      <c r="J30" s="159" t="n">
        <v>1972</v>
      </c>
      <c r="K30" s="159" t="n">
        <v>85</v>
      </c>
      <c r="L30" s="159" t="n">
        <v>98</v>
      </c>
      <c r="M30" s="160" t="n">
        <f aca="false">MAX(K30:L30)</f>
        <v>98</v>
      </c>
      <c r="O30" s="160" t="n">
        <v>1</v>
      </c>
      <c r="P30" s="162" t="s">
        <v>193</v>
      </c>
      <c r="R30" s="160" t="n">
        <v>11814</v>
      </c>
      <c r="S30" s="163" t="n">
        <v>48.7</v>
      </c>
      <c r="T30" s="163" t="n">
        <v>3.74</v>
      </c>
      <c r="U30" s="159" t="s">
        <v>215</v>
      </c>
    </row>
    <row r="31" customFormat="false" ht="15" hidden="false" customHeight="false" outlineLevel="0" collapsed="false">
      <c r="C31" s="159" t="s">
        <v>187</v>
      </c>
      <c r="D31" s="159" t="s">
        <v>187</v>
      </c>
      <c r="E31" s="159" t="s">
        <v>216</v>
      </c>
      <c r="F31" s="159" t="s">
        <v>189</v>
      </c>
      <c r="G31" s="159" t="s">
        <v>190</v>
      </c>
      <c r="H31" s="159" t="s">
        <v>221</v>
      </c>
      <c r="I31" s="159" t="s">
        <v>87</v>
      </c>
      <c r="J31" s="159" t="n">
        <v>1969</v>
      </c>
      <c r="K31" s="159" t="n">
        <v>30</v>
      </c>
      <c r="L31" s="159" t="n">
        <v>42.8</v>
      </c>
      <c r="M31" s="160" t="n">
        <f aca="false">MAX(K31:L31)</f>
        <v>42.8</v>
      </c>
      <c r="O31" s="160" t="n">
        <v>1</v>
      </c>
      <c r="P31" s="162" t="s">
        <v>193</v>
      </c>
      <c r="R31" s="160" t="n">
        <v>14083</v>
      </c>
      <c r="S31" s="163" t="n">
        <v>0.07</v>
      </c>
      <c r="T31" s="163" t="n">
        <v>3.74</v>
      </c>
      <c r="U31" s="159" t="s">
        <v>215</v>
      </c>
    </row>
    <row r="32" customFormat="false" ht="15" hidden="false" customHeight="false" outlineLevel="0" collapsed="false">
      <c r="C32" s="159" t="s">
        <v>196</v>
      </c>
      <c r="D32" s="159" t="s">
        <v>196</v>
      </c>
      <c r="E32" s="159" t="s">
        <v>203</v>
      </c>
      <c r="F32" s="159" t="s">
        <v>198</v>
      </c>
      <c r="G32" s="159" t="s">
        <v>190</v>
      </c>
      <c r="H32" s="159" t="s">
        <v>221</v>
      </c>
      <c r="I32" s="159" t="s">
        <v>195</v>
      </c>
      <c r="J32" s="159" t="n">
        <v>1944</v>
      </c>
      <c r="K32" s="159" t="n">
        <v>40</v>
      </c>
      <c r="L32" s="159" t="n">
        <v>40</v>
      </c>
      <c r="M32" s="160" t="n">
        <f aca="false">MAX(K32:L32)</f>
        <v>40</v>
      </c>
      <c r="O32" s="160" t="n">
        <v>19</v>
      </c>
      <c r="P32" s="162" t="s">
        <v>193</v>
      </c>
      <c r="R32" s="160" t="n">
        <v>12966</v>
      </c>
      <c r="S32" s="163" t="n">
        <v>1.14</v>
      </c>
      <c r="T32" s="163" t="n">
        <v>1.33</v>
      </c>
      <c r="U32" s="159" t="s">
        <v>194</v>
      </c>
    </row>
    <row r="33" customFormat="false" ht="15" hidden="false" customHeight="false" outlineLevel="0" collapsed="false">
      <c r="C33" s="159" t="s">
        <v>206</v>
      </c>
      <c r="D33" s="159" t="s">
        <v>187</v>
      </c>
      <c r="E33" s="159" t="s">
        <v>207</v>
      </c>
      <c r="F33" s="159" t="s">
        <v>189</v>
      </c>
      <c r="G33" s="159" t="s">
        <v>190</v>
      </c>
      <c r="H33" s="159" t="s">
        <v>221</v>
      </c>
      <c r="I33" s="159" t="s">
        <v>218</v>
      </c>
      <c r="J33" s="159" t="n">
        <v>1983</v>
      </c>
      <c r="K33" s="159" t="n">
        <v>5.94</v>
      </c>
      <c r="L33" s="159" t="n">
        <v>7.92</v>
      </c>
      <c r="M33" s="160" t="n">
        <f aca="false">MAX(K33:L33)</f>
        <v>7.92</v>
      </c>
      <c r="O33" s="160" t="n">
        <v>1</v>
      </c>
      <c r="P33" s="162" t="s">
        <v>193</v>
      </c>
      <c r="R33" s="160" t="n">
        <v>13820</v>
      </c>
      <c r="S33" s="163" t="n">
        <v>0</v>
      </c>
      <c r="T33" s="163" t="n">
        <v>3.74</v>
      </c>
      <c r="U33" s="159" t="s">
        <v>215</v>
      </c>
    </row>
    <row r="34" customFormat="false" ht="15" hidden="false" customHeight="false" outlineLevel="0" collapsed="false">
      <c r="C34" s="159" t="s">
        <v>187</v>
      </c>
      <c r="D34" s="159" t="s">
        <v>187</v>
      </c>
      <c r="E34" s="159" t="s">
        <v>208</v>
      </c>
      <c r="F34" s="159" t="s">
        <v>189</v>
      </c>
      <c r="G34" s="159" t="s">
        <v>190</v>
      </c>
      <c r="H34" s="159" t="s">
        <v>221</v>
      </c>
      <c r="I34" s="159" t="s">
        <v>87</v>
      </c>
      <c r="J34" s="159" t="n">
        <v>1971</v>
      </c>
      <c r="K34" s="159" t="n">
        <v>56.8</v>
      </c>
      <c r="L34" s="159" t="n">
        <v>78</v>
      </c>
      <c r="M34" s="160" t="n">
        <f aca="false">MAX(K34:L34)</f>
        <v>78</v>
      </c>
      <c r="O34" s="160" t="n">
        <v>1</v>
      </c>
      <c r="P34" s="162" t="s">
        <v>193</v>
      </c>
      <c r="R34" s="160" t="n">
        <v>13422</v>
      </c>
      <c r="S34" s="163" t="n">
        <v>28.73</v>
      </c>
      <c r="T34" s="163" t="n">
        <v>3.74</v>
      </c>
      <c r="U34" s="159" t="s">
        <v>215</v>
      </c>
    </row>
    <row r="35" customFormat="false" ht="15" hidden="false" customHeight="false" outlineLevel="0" collapsed="false">
      <c r="C35" s="159" t="s">
        <v>196</v>
      </c>
      <c r="D35" s="159" t="s">
        <v>196</v>
      </c>
      <c r="E35" s="159" t="s">
        <v>224</v>
      </c>
      <c r="F35" s="159" t="s">
        <v>198</v>
      </c>
      <c r="G35" s="159" t="s">
        <v>190</v>
      </c>
      <c r="H35" s="159" t="s">
        <v>221</v>
      </c>
      <c r="I35" s="159" t="s">
        <v>87</v>
      </c>
      <c r="J35" s="159" t="n">
        <v>1968</v>
      </c>
      <c r="K35" s="159" t="n">
        <v>93</v>
      </c>
      <c r="L35" s="159" t="n">
        <v>104</v>
      </c>
      <c r="M35" s="160" t="n">
        <f aca="false">MAX(K35:L35)</f>
        <v>104</v>
      </c>
      <c r="O35" s="160" t="n">
        <v>1</v>
      </c>
      <c r="P35" s="162" t="s">
        <v>193</v>
      </c>
      <c r="R35" s="160" t="n">
        <v>17125</v>
      </c>
      <c r="S35" s="163" t="n">
        <v>83.01</v>
      </c>
      <c r="T35" s="163" t="n">
        <v>3.74</v>
      </c>
      <c r="U35" s="159" t="s">
        <v>222</v>
      </c>
    </row>
    <row r="36" customFormat="false" ht="15" hidden="false" customHeight="false" outlineLevel="0" collapsed="false">
      <c r="C36" s="159" t="s">
        <v>206</v>
      </c>
      <c r="D36" s="159" t="s">
        <v>187</v>
      </c>
      <c r="E36" s="159" t="s">
        <v>210</v>
      </c>
      <c r="F36" s="159" t="s">
        <v>189</v>
      </c>
      <c r="G36" s="159" t="s">
        <v>190</v>
      </c>
      <c r="H36" s="159" t="s">
        <v>221</v>
      </c>
      <c r="I36" s="159" t="s">
        <v>218</v>
      </c>
      <c r="J36" s="159" t="n">
        <v>1969</v>
      </c>
      <c r="K36" s="159" t="n">
        <v>3.92</v>
      </c>
      <c r="L36" s="159" t="n">
        <v>3.92</v>
      </c>
      <c r="M36" s="160" t="n">
        <f aca="false">MAX(K36:L36)</f>
        <v>3.92</v>
      </c>
      <c r="O36" s="160" t="n">
        <v>1</v>
      </c>
      <c r="P36" s="162" t="s">
        <v>193</v>
      </c>
      <c r="R36" s="160" t="n">
        <v>10400</v>
      </c>
      <c r="S36" s="163" t="n">
        <v>0</v>
      </c>
      <c r="T36" s="163" t="n">
        <v>3.74</v>
      </c>
      <c r="U36" s="159" t="s">
        <v>222</v>
      </c>
    </row>
    <row r="37" customFormat="false" ht="15" hidden="false" customHeight="false" outlineLevel="0" collapsed="false">
      <c r="C37" s="159" t="s">
        <v>196</v>
      </c>
      <c r="D37" s="159" t="s">
        <v>196</v>
      </c>
      <c r="E37" s="159" t="s">
        <v>212</v>
      </c>
      <c r="F37" s="159" t="s">
        <v>198</v>
      </c>
      <c r="G37" s="159" t="s">
        <v>190</v>
      </c>
      <c r="H37" s="159" t="s">
        <v>221</v>
      </c>
      <c r="I37" s="159" t="s">
        <v>87</v>
      </c>
      <c r="J37" s="159" t="n">
        <v>1967</v>
      </c>
      <c r="K37" s="159" t="n">
        <v>8</v>
      </c>
      <c r="L37" s="159" t="n">
        <v>8</v>
      </c>
      <c r="M37" s="160" t="n">
        <f aca="false">MAX(K37:L37)</f>
        <v>8</v>
      </c>
      <c r="O37" s="160" t="n">
        <v>1</v>
      </c>
      <c r="P37" s="162" t="s">
        <v>193</v>
      </c>
      <c r="R37" s="160" t="n">
        <v>10848</v>
      </c>
      <c r="S37" s="163" t="n">
        <v>33.76</v>
      </c>
      <c r="T37" s="163" t="n">
        <v>3.74</v>
      </c>
      <c r="U37" s="159" t="s">
        <v>222</v>
      </c>
    </row>
    <row r="38" customFormat="false" ht="15" hidden="false" customHeight="false" outlineLevel="0" collapsed="false">
      <c r="D38" s="175" t="s">
        <v>213</v>
      </c>
      <c r="K38" s="159" t="n">
        <f aca="false">SUM(K23:K37)</f>
        <v>1413.86</v>
      </c>
      <c r="L38" s="159" t="n">
        <f aca="false">SUM(L23:L37)</f>
        <v>1713.14</v>
      </c>
      <c r="M38" s="176" t="n">
        <f aca="false">SUM(M23:M37)</f>
        <v>1713.14</v>
      </c>
    </row>
    <row r="39" customFormat="false" ht="15" hidden="false" customHeight="false" outlineLevel="0" collapsed="false">
      <c r="B39" s="158" t="s">
        <v>225</v>
      </c>
    </row>
    <row r="40" customFormat="false" ht="15" hidden="false" customHeight="false" outlineLevel="0" collapsed="false">
      <c r="C40" s="159" t="s">
        <v>196</v>
      </c>
      <c r="D40" s="159" t="s">
        <v>196</v>
      </c>
      <c r="E40" s="159" t="s">
        <v>226</v>
      </c>
      <c r="F40" s="159" t="s">
        <v>198</v>
      </c>
      <c r="G40" s="159" t="s">
        <v>190</v>
      </c>
      <c r="H40" s="159" t="s">
        <v>227</v>
      </c>
      <c r="I40" s="159" t="s">
        <v>192</v>
      </c>
      <c r="J40" s="159" t="n">
        <v>1967</v>
      </c>
      <c r="K40" s="159" t="n">
        <v>45</v>
      </c>
      <c r="L40" s="159" t="n">
        <v>45</v>
      </c>
      <c r="M40" s="160" t="n">
        <f aca="false">MAX(K40:L40)</f>
        <v>45</v>
      </c>
      <c r="O40" s="160" t="n">
        <v>50</v>
      </c>
      <c r="P40" s="162" t="s">
        <v>193</v>
      </c>
      <c r="R40" s="160" t="n">
        <v>0</v>
      </c>
      <c r="S40" s="163" t="n">
        <v>0.15</v>
      </c>
      <c r="T40" s="163" t="n">
        <v>0.34</v>
      </c>
      <c r="U40" s="159" t="s">
        <v>228</v>
      </c>
    </row>
    <row r="42" customFormat="false" ht="15.75" hidden="false" customHeight="false" outlineLevel="0" collapsed="false">
      <c r="D42" s="175" t="s">
        <v>229</v>
      </c>
      <c r="K42" s="159" t="n">
        <f aca="false">+K40+K38+K21</f>
        <v>10882.02</v>
      </c>
      <c r="L42" s="159" t="n">
        <f aca="false">+L40+L38+L21</f>
        <v>11216.55</v>
      </c>
      <c r="M42" s="177" t="n">
        <f aca="false">+M40+M38+M21</f>
        <v>11216.55</v>
      </c>
    </row>
    <row r="43" customFormat="false" ht="15.75" hidden="false" customHeight="false" outlineLevel="0" collapsed="false">
      <c r="A43" s="178"/>
      <c r="B43" s="179"/>
      <c r="C43" s="180"/>
      <c r="D43" s="180"/>
      <c r="E43" s="180"/>
    </row>
    <row r="44" customFormat="false" ht="13.5" hidden="false" customHeight="false" outlineLevel="0" collapsed="false">
      <c r="A44" s="181" t="n">
        <v>1</v>
      </c>
      <c r="B44" s="182" t="s">
        <v>230</v>
      </c>
      <c r="F44" s="162"/>
      <c r="G44" s="162"/>
      <c r="H44" s="162"/>
      <c r="I44" s="162"/>
      <c r="J44" s="162"/>
      <c r="K44" s="162"/>
      <c r="L44" s="162"/>
      <c r="M44" s="183"/>
      <c r="N44" s="184"/>
      <c r="O44" s="183"/>
      <c r="Q44" s="162"/>
      <c r="R44" s="183"/>
      <c r="S44" s="185"/>
      <c r="T44" s="185"/>
      <c r="U44" s="162"/>
      <c r="V44" s="162"/>
      <c r="W44" s="162"/>
      <c r="X44" s="162"/>
      <c r="Y44" s="162"/>
      <c r="Z44" s="162"/>
    </row>
    <row r="45" customFormat="false" ht="13.5" hidden="false" customHeight="false" outlineLevel="0" collapsed="false">
      <c r="A45" s="181" t="n">
        <v>2</v>
      </c>
      <c r="B45" s="182" t="s">
        <v>231</v>
      </c>
      <c r="F45" s="162"/>
      <c r="G45" s="162"/>
      <c r="H45" s="162"/>
      <c r="I45" s="162"/>
      <c r="J45" s="162"/>
      <c r="K45" s="162"/>
      <c r="L45" s="162"/>
      <c r="M45" s="183"/>
      <c r="N45" s="184"/>
      <c r="O45" s="183"/>
      <c r="Q45" s="162"/>
      <c r="R45" s="183"/>
      <c r="S45" s="185"/>
      <c r="T45" s="185"/>
      <c r="U45" s="162"/>
      <c r="V45" s="162"/>
      <c r="W45" s="162"/>
      <c r="X45" s="162"/>
      <c r="Y45" s="162"/>
      <c r="Z45" s="162"/>
    </row>
    <row r="46" customFormat="false" ht="13.5" hidden="false" customHeight="false" outlineLevel="0" collapsed="false">
      <c r="A46" s="181" t="n">
        <v>3</v>
      </c>
      <c r="B46" s="182" t="s">
        <v>232</v>
      </c>
    </row>
    <row r="47" customFormat="false" ht="90" hidden="false" customHeight="false" outlineLevel="0" collapsed="false">
      <c r="A47" s="165"/>
      <c r="B47" s="166"/>
      <c r="C47" s="165" t="s">
        <v>168</v>
      </c>
      <c r="D47" s="167" t="s">
        <v>169</v>
      </c>
      <c r="E47" s="167" t="s">
        <v>170</v>
      </c>
      <c r="F47" s="167" t="s">
        <v>171</v>
      </c>
      <c r="G47" s="167" t="s">
        <v>172</v>
      </c>
      <c r="H47" s="167" t="s">
        <v>173</v>
      </c>
      <c r="I47" s="167" t="s">
        <v>174</v>
      </c>
      <c r="J47" s="167" t="s">
        <v>175</v>
      </c>
      <c r="K47" s="167" t="s">
        <v>176</v>
      </c>
      <c r="L47" s="167" t="s">
        <v>177</v>
      </c>
      <c r="M47" s="168" t="s">
        <v>178</v>
      </c>
      <c r="N47" s="169" t="n">
        <v>1</v>
      </c>
      <c r="O47" s="168" t="s">
        <v>179</v>
      </c>
      <c r="P47" s="167" t="s">
        <v>180</v>
      </c>
      <c r="Q47" s="167" t="s">
        <v>181</v>
      </c>
      <c r="R47" s="168" t="s">
        <v>182</v>
      </c>
      <c r="S47" s="170" t="s">
        <v>183</v>
      </c>
      <c r="T47" s="170" t="s">
        <v>184</v>
      </c>
      <c r="U47" s="167" t="s">
        <v>185</v>
      </c>
      <c r="V47" s="171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BQ47" s="165"/>
      <c r="BR47" s="165"/>
      <c r="BS47" s="165"/>
      <c r="BT47" s="165"/>
      <c r="BU47" s="165"/>
      <c r="BV47" s="165"/>
      <c r="BW47" s="165"/>
      <c r="BX47" s="165"/>
      <c r="BY47" s="165"/>
      <c r="BZ47" s="165"/>
      <c r="CA47" s="165"/>
      <c r="CB47" s="165"/>
      <c r="CC47" s="165"/>
      <c r="CD47" s="165"/>
      <c r="CE47" s="165"/>
      <c r="CF47" s="165"/>
      <c r="CG47" s="165"/>
      <c r="CH47" s="165"/>
      <c r="CI47" s="165"/>
      <c r="CJ47" s="165"/>
      <c r="CK47" s="165"/>
      <c r="CL47" s="165"/>
      <c r="CM47" s="165"/>
      <c r="CN47" s="165"/>
      <c r="CO47" s="165"/>
      <c r="CP47" s="165"/>
      <c r="CQ47" s="165"/>
      <c r="CR47" s="165"/>
      <c r="CS47" s="165"/>
      <c r="CT47" s="165"/>
      <c r="CU47" s="165"/>
      <c r="CV47" s="165"/>
      <c r="CW47" s="165"/>
      <c r="CX47" s="165"/>
      <c r="CY47" s="165"/>
      <c r="CZ47" s="165"/>
      <c r="DA47" s="165"/>
      <c r="DB47" s="165"/>
      <c r="DC47" s="165"/>
      <c r="DD47" s="165"/>
      <c r="DE47" s="165"/>
      <c r="DF47" s="165"/>
      <c r="DG47" s="165"/>
      <c r="DH47" s="165"/>
      <c r="DI47" s="165"/>
      <c r="DJ47" s="165"/>
      <c r="DK47" s="165"/>
      <c r="DL47" s="165"/>
      <c r="DM47" s="165"/>
      <c r="DN47" s="165"/>
      <c r="DO47" s="165"/>
      <c r="DP47" s="165"/>
      <c r="DQ47" s="165"/>
      <c r="DR47" s="165"/>
      <c r="DS47" s="165"/>
      <c r="DT47" s="165"/>
      <c r="DU47" s="165"/>
      <c r="DV47" s="165"/>
      <c r="DW47" s="165"/>
      <c r="DX47" s="165"/>
      <c r="DY47" s="165"/>
      <c r="DZ47" s="165"/>
      <c r="EA47" s="165"/>
      <c r="EB47" s="165"/>
      <c r="EC47" s="165"/>
      <c r="ED47" s="165"/>
      <c r="EE47" s="165"/>
      <c r="EF47" s="165"/>
      <c r="EG47" s="165"/>
      <c r="EH47" s="165"/>
      <c r="EI47" s="165"/>
      <c r="EJ47" s="165"/>
      <c r="EK47" s="165"/>
      <c r="EL47" s="165"/>
      <c r="EM47" s="165"/>
      <c r="EN47" s="165"/>
      <c r="EO47" s="165"/>
      <c r="EP47" s="165"/>
      <c r="EQ47" s="165"/>
      <c r="ER47" s="165"/>
      <c r="ES47" s="165"/>
      <c r="ET47" s="165"/>
      <c r="EU47" s="165"/>
      <c r="EV47" s="165"/>
      <c r="EW47" s="165"/>
      <c r="EX47" s="165"/>
      <c r="EY47" s="165"/>
      <c r="EZ47" s="165"/>
      <c r="FA47" s="165"/>
      <c r="FB47" s="165"/>
      <c r="FC47" s="165"/>
      <c r="FD47" s="165"/>
      <c r="FE47" s="165"/>
      <c r="FF47" s="165"/>
      <c r="FG47" s="165"/>
      <c r="FH47" s="165"/>
      <c r="FI47" s="165"/>
      <c r="FJ47" s="165"/>
      <c r="FK47" s="165"/>
      <c r="FL47" s="165"/>
      <c r="FM47" s="165"/>
      <c r="FN47" s="165"/>
      <c r="FO47" s="165"/>
      <c r="FP47" s="165"/>
      <c r="FQ47" s="165"/>
      <c r="FR47" s="165"/>
      <c r="FS47" s="165"/>
      <c r="FT47" s="165"/>
      <c r="FU47" s="165"/>
      <c r="FV47" s="165"/>
      <c r="FW47" s="165"/>
      <c r="FX47" s="165"/>
      <c r="FY47" s="165"/>
      <c r="FZ47" s="165"/>
      <c r="GA47" s="165"/>
      <c r="GB47" s="165"/>
      <c r="GC47" s="165"/>
      <c r="GD47" s="165"/>
      <c r="GE47" s="165"/>
      <c r="GF47" s="165"/>
      <c r="GG47" s="165"/>
      <c r="GH47" s="165"/>
      <c r="GI47" s="165"/>
      <c r="GJ47" s="165"/>
      <c r="GK47" s="165"/>
      <c r="GL47" s="165"/>
      <c r="GM47" s="165"/>
      <c r="GN47" s="165"/>
      <c r="GO47" s="165"/>
      <c r="GP47" s="165"/>
      <c r="GQ47" s="165"/>
      <c r="GR47" s="165"/>
      <c r="GS47" s="165"/>
      <c r="GT47" s="165"/>
      <c r="GU47" s="165"/>
      <c r="GV47" s="165"/>
      <c r="GW47" s="165"/>
      <c r="GX47" s="165"/>
      <c r="GY47" s="165"/>
      <c r="GZ47" s="165"/>
      <c r="HA47" s="165"/>
      <c r="HB47" s="165"/>
      <c r="HC47" s="165"/>
      <c r="HD47" s="165"/>
      <c r="HE47" s="165"/>
      <c r="HF47" s="165"/>
      <c r="HG47" s="165"/>
      <c r="HH47" s="165"/>
      <c r="HI47" s="165"/>
      <c r="HJ47" s="165"/>
      <c r="HK47" s="165"/>
      <c r="HL47" s="165"/>
      <c r="HM47" s="165"/>
      <c r="HN47" s="165"/>
      <c r="HO47" s="165"/>
      <c r="HP47" s="165"/>
      <c r="HQ47" s="165"/>
      <c r="HR47" s="165"/>
      <c r="HS47" s="165"/>
      <c r="HT47" s="165"/>
      <c r="HU47" s="165"/>
      <c r="HV47" s="165"/>
      <c r="HW47" s="165"/>
      <c r="HX47" s="165"/>
      <c r="HY47" s="165"/>
      <c r="HZ47" s="165"/>
      <c r="IA47" s="165"/>
      <c r="IB47" s="165"/>
      <c r="IC47" s="165"/>
      <c r="ID47" s="165"/>
      <c r="IE47" s="165"/>
      <c r="IF47" s="165"/>
      <c r="IG47" s="165"/>
      <c r="IH47" s="165"/>
      <c r="II47" s="165"/>
      <c r="IJ47" s="165"/>
      <c r="IK47" s="165"/>
      <c r="IL47" s="165"/>
      <c r="IM47" s="165"/>
      <c r="IN47" s="165"/>
      <c r="IO47" s="165"/>
      <c r="IP47" s="165"/>
      <c r="IQ47" s="165"/>
      <c r="IR47" s="165"/>
      <c r="IS47" s="165"/>
      <c r="IT47" s="165"/>
      <c r="IU47" s="165"/>
      <c r="IV47" s="165"/>
      <c r="IW47" s="165"/>
    </row>
    <row r="49" customFormat="false" ht="15" hidden="false" customHeight="false" outlineLevel="0" collapsed="false">
      <c r="C49" s="159" t="s">
        <v>196</v>
      </c>
      <c r="D49" s="159" t="s">
        <v>196</v>
      </c>
      <c r="E49" s="159" t="s">
        <v>233</v>
      </c>
      <c r="F49" s="159" t="s">
        <v>198</v>
      </c>
      <c r="G49" s="159" t="s">
        <v>190</v>
      </c>
      <c r="H49" s="159" t="s">
        <v>234</v>
      </c>
      <c r="I49" s="159" t="s">
        <v>218</v>
      </c>
      <c r="J49" s="159" t="n">
        <v>1994</v>
      </c>
      <c r="K49" s="159" t="n">
        <v>5.2</v>
      </c>
      <c r="L49" s="159" t="n">
        <v>5.2</v>
      </c>
      <c r="M49" s="160" t="n">
        <f aca="false">MAX(K49:L49)</f>
        <v>5.2</v>
      </c>
      <c r="O49" s="160" t="n">
        <v>1</v>
      </c>
      <c r="P49" s="162" t="s">
        <v>235</v>
      </c>
      <c r="R49" s="160" t="n">
        <v>12392</v>
      </c>
      <c r="S49" s="163" t="n">
        <v>0</v>
      </c>
      <c r="T49" s="163" t="n">
        <v>3.74</v>
      </c>
      <c r="U49" s="159" t="s">
        <v>215</v>
      </c>
    </row>
    <row r="50" customFormat="false" ht="15" hidden="false" customHeight="false" outlineLevel="0" collapsed="false">
      <c r="C50" s="159" t="s">
        <v>236</v>
      </c>
      <c r="D50" s="159" t="s">
        <v>236</v>
      </c>
      <c r="E50" s="159" t="s">
        <v>237</v>
      </c>
      <c r="F50" s="159" t="s">
        <v>198</v>
      </c>
      <c r="G50" s="159" t="s">
        <v>190</v>
      </c>
      <c r="H50" s="159" t="s">
        <v>102</v>
      </c>
      <c r="I50" s="159" t="s">
        <v>218</v>
      </c>
      <c r="J50" s="159" t="n">
        <v>2000</v>
      </c>
      <c r="K50" s="159" t="n">
        <v>67.5</v>
      </c>
      <c r="L50" s="159" t="n">
        <v>67.5</v>
      </c>
      <c r="M50" s="160" t="n">
        <f aca="false">MAX(K50:L50)</f>
        <v>67.5</v>
      </c>
      <c r="O50" s="160" t="n">
        <v>1</v>
      </c>
      <c r="P50" s="162" t="s">
        <v>235</v>
      </c>
      <c r="R50" s="160" t="n">
        <v>12392</v>
      </c>
      <c r="S50" s="163" t="n">
        <v>0</v>
      </c>
      <c r="T50" s="163" t="n">
        <v>3.74</v>
      </c>
      <c r="U50" s="159" t="s">
        <v>215</v>
      </c>
    </row>
    <row r="51" customFormat="false" ht="15" hidden="false" customHeight="false" outlineLevel="0" collapsed="false">
      <c r="L51" s="159" t="n">
        <f aca="false">SUM(L50)</f>
        <v>67.5</v>
      </c>
    </row>
    <row r="52" customFormat="false" ht="15.75" hidden="false" customHeight="false" outlineLevel="0" collapsed="false">
      <c r="A52" s="186"/>
      <c r="B52" s="187"/>
      <c r="C52" s="188"/>
      <c r="D52" s="189" t="s">
        <v>229</v>
      </c>
      <c r="E52" s="188"/>
      <c r="F52" s="188"/>
      <c r="G52" s="188"/>
      <c r="H52" s="188"/>
      <c r="I52" s="188"/>
      <c r="J52" s="188"/>
      <c r="K52" s="188"/>
      <c r="L52" s="188"/>
      <c r="M52" s="177" t="n">
        <f aca="false">SUM(M49:M50)</f>
        <v>72.7</v>
      </c>
      <c r="N52" s="190"/>
      <c r="P52" s="191"/>
      <c r="Q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188"/>
      <c r="BT52" s="188"/>
      <c r="BU52" s="188"/>
      <c r="BV52" s="188"/>
      <c r="BW52" s="188"/>
      <c r="BX52" s="188"/>
      <c r="BY52" s="188"/>
      <c r="BZ52" s="188"/>
      <c r="CA52" s="188"/>
      <c r="CB52" s="188"/>
      <c r="CC52" s="188"/>
      <c r="CD52" s="188"/>
      <c r="CE52" s="188"/>
      <c r="CF52" s="188"/>
      <c r="CG52" s="188"/>
      <c r="CH52" s="188"/>
      <c r="CI52" s="188"/>
      <c r="CJ52" s="188"/>
      <c r="CK52" s="188"/>
      <c r="CL52" s="188"/>
      <c r="CM52" s="188"/>
      <c r="CN52" s="188"/>
      <c r="CO52" s="188"/>
      <c r="CP52" s="188"/>
      <c r="CQ52" s="188"/>
      <c r="CR52" s="188"/>
      <c r="CS52" s="188"/>
      <c r="CT52" s="188"/>
      <c r="CU52" s="188"/>
      <c r="CV52" s="188"/>
      <c r="CW52" s="188"/>
      <c r="CX52" s="188"/>
      <c r="CY52" s="188"/>
      <c r="CZ52" s="188"/>
      <c r="DA52" s="188"/>
      <c r="DB52" s="188"/>
      <c r="DC52" s="188"/>
      <c r="DD52" s="188"/>
      <c r="DE52" s="188"/>
      <c r="DF52" s="188"/>
      <c r="DG52" s="188"/>
      <c r="DH52" s="188"/>
      <c r="DI52" s="188"/>
      <c r="DJ52" s="188"/>
      <c r="DK52" s="188"/>
      <c r="DL52" s="188"/>
      <c r="DM52" s="188"/>
      <c r="DN52" s="188"/>
      <c r="DO52" s="188"/>
      <c r="DP52" s="188"/>
      <c r="DQ52" s="188"/>
      <c r="DR52" s="188"/>
      <c r="DS52" s="188"/>
      <c r="DT52" s="188"/>
      <c r="DU52" s="188"/>
      <c r="DV52" s="188"/>
      <c r="DW52" s="188"/>
      <c r="DX52" s="188"/>
      <c r="DY52" s="188"/>
      <c r="DZ52" s="188"/>
      <c r="EA52" s="188"/>
      <c r="EB52" s="188"/>
      <c r="EC52" s="188"/>
      <c r="ED52" s="188"/>
      <c r="EE52" s="188"/>
      <c r="EF52" s="188"/>
      <c r="EG52" s="188"/>
      <c r="EH52" s="188"/>
      <c r="EI52" s="188"/>
      <c r="EJ52" s="188"/>
      <c r="EK52" s="188"/>
      <c r="EL52" s="188"/>
      <c r="EM52" s="188"/>
      <c r="EN52" s="188"/>
      <c r="EO52" s="188"/>
      <c r="EP52" s="188"/>
      <c r="EQ52" s="188"/>
      <c r="ER52" s="188"/>
      <c r="ES52" s="188"/>
      <c r="ET52" s="188"/>
      <c r="EU52" s="188"/>
      <c r="EV52" s="188"/>
      <c r="EW52" s="188"/>
      <c r="EX52" s="188"/>
      <c r="EY52" s="188"/>
      <c r="EZ52" s="188"/>
      <c r="FA52" s="188"/>
      <c r="FB52" s="188"/>
      <c r="FC52" s="188"/>
      <c r="FD52" s="188"/>
      <c r="FE52" s="188"/>
      <c r="FF52" s="188"/>
      <c r="FG52" s="188"/>
      <c r="FH52" s="188"/>
      <c r="FI52" s="188"/>
      <c r="FJ52" s="188"/>
      <c r="FK52" s="188"/>
      <c r="FL52" s="188"/>
      <c r="FM52" s="188"/>
      <c r="FN52" s="188"/>
      <c r="FO52" s="188"/>
      <c r="FP52" s="188"/>
      <c r="FQ52" s="188"/>
      <c r="FR52" s="188"/>
      <c r="FS52" s="188"/>
      <c r="FT52" s="188"/>
      <c r="FU52" s="188"/>
      <c r="FV52" s="188"/>
      <c r="FW52" s="188"/>
      <c r="FX52" s="188"/>
      <c r="FY52" s="188"/>
      <c r="FZ52" s="188"/>
      <c r="GA52" s="188"/>
      <c r="GB52" s="188"/>
      <c r="GC52" s="188"/>
      <c r="GD52" s="188"/>
      <c r="GE52" s="188"/>
      <c r="GF52" s="188"/>
      <c r="GG52" s="188"/>
      <c r="GH52" s="188"/>
      <c r="GI52" s="188"/>
      <c r="GJ52" s="188"/>
      <c r="GK52" s="188"/>
      <c r="GL52" s="188"/>
      <c r="GM52" s="188"/>
      <c r="GN52" s="188"/>
      <c r="GO52" s="188"/>
      <c r="GP52" s="188"/>
      <c r="GQ52" s="188"/>
      <c r="GR52" s="188"/>
      <c r="GS52" s="188"/>
      <c r="GT52" s="188"/>
      <c r="GU52" s="188"/>
      <c r="GV52" s="188"/>
      <c r="GW52" s="188"/>
      <c r="GX52" s="188"/>
      <c r="GY52" s="188"/>
      <c r="GZ52" s="188"/>
      <c r="HA52" s="188"/>
      <c r="HB52" s="188"/>
      <c r="HC52" s="188"/>
      <c r="HD52" s="188"/>
      <c r="HE52" s="188"/>
      <c r="HF52" s="188"/>
      <c r="HG52" s="188"/>
      <c r="HH52" s="188"/>
      <c r="HI52" s="188"/>
      <c r="HJ52" s="188"/>
      <c r="HK52" s="188"/>
      <c r="HL52" s="188"/>
      <c r="HM52" s="188"/>
      <c r="HN52" s="188"/>
      <c r="HO52" s="188"/>
      <c r="HP52" s="188"/>
      <c r="HQ52" s="188"/>
      <c r="HR52" s="188"/>
      <c r="HS52" s="188"/>
      <c r="HT52" s="188"/>
      <c r="HU52" s="188"/>
      <c r="HV52" s="188"/>
      <c r="HW52" s="188"/>
      <c r="HX52" s="188"/>
      <c r="HY52" s="188"/>
      <c r="HZ52" s="188"/>
      <c r="IA52" s="188"/>
      <c r="IB52" s="188"/>
      <c r="IC52" s="188"/>
      <c r="ID52" s="188"/>
      <c r="IE52" s="188"/>
      <c r="IF52" s="188"/>
      <c r="IG52" s="188"/>
      <c r="IH52" s="188"/>
      <c r="II52" s="188"/>
      <c r="IJ52" s="188"/>
      <c r="IK52" s="188"/>
      <c r="IL52" s="188"/>
      <c r="IM52" s="188"/>
      <c r="IN52" s="188"/>
      <c r="IO52" s="188"/>
      <c r="IP52" s="188"/>
      <c r="IQ52" s="188"/>
      <c r="IR52" s="188"/>
      <c r="IS52" s="188"/>
      <c r="IT52" s="188"/>
      <c r="IU52" s="188"/>
      <c r="IV52" s="188"/>
      <c r="IW52" s="188"/>
    </row>
    <row r="53" customFormat="false" ht="15.75" hidden="false" customHeight="false" outlineLevel="0" collapsed="false">
      <c r="A53" s="178"/>
      <c r="B53" s="179"/>
      <c r="C53" s="180"/>
      <c r="D53" s="180"/>
      <c r="E53" s="180"/>
    </row>
    <row r="54" customFormat="false" ht="13.5" hidden="false" customHeight="false" outlineLevel="0" collapsed="false">
      <c r="A54" s="181" t="n">
        <v>1</v>
      </c>
      <c r="B54" s="182" t="s">
        <v>230</v>
      </c>
    </row>
    <row r="55" customFormat="false" ht="13.5" hidden="false" customHeight="false" outlineLevel="0" collapsed="false">
      <c r="A55" s="181" t="n">
        <v>2</v>
      </c>
      <c r="B55" s="182" t="s">
        <v>231</v>
      </c>
    </row>
    <row r="56" customFormat="false" ht="13.5" hidden="false" customHeight="false" outlineLevel="0" collapsed="false">
      <c r="A56" s="181" t="n">
        <v>3</v>
      </c>
      <c r="B56" s="182" t="s">
        <v>232</v>
      </c>
    </row>
    <row r="57" customFormat="false" ht="22.5" hidden="false" customHeight="false" outlineLevel="0" collapsed="false">
      <c r="A57" s="164" t="s">
        <v>238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</row>
    <row r="59" customFormat="false" ht="90" hidden="false" customHeight="true" outlineLevel="0" collapsed="false">
      <c r="A59" s="165"/>
      <c r="B59" s="166"/>
      <c r="C59" s="165" t="s">
        <v>168</v>
      </c>
      <c r="D59" s="167" t="s">
        <v>169</v>
      </c>
      <c r="E59" s="167" t="s">
        <v>170</v>
      </c>
      <c r="F59" s="167" t="s">
        <v>171</v>
      </c>
      <c r="G59" s="167" t="s">
        <v>172</v>
      </c>
      <c r="H59" s="167" t="s">
        <v>173</v>
      </c>
      <c r="I59" s="167" t="s">
        <v>174</v>
      </c>
      <c r="J59" s="167" t="s">
        <v>175</v>
      </c>
      <c r="K59" s="167" t="s">
        <v>176</v>
      </c>
      <c r="L59" s="167" t="s">
        <v>177</v>
      </c>
      <c r="M59" s="168" t="s">
        <v>178</v>
      </c>
      <c r="N59" s="169" t="n">
        <v>1</v>
      </c>
      <c r="O59" s="168" t="s">
        <v>179</v>
      </c>
      <c r="P59" s="167" t="s">
        <v>180</v>
      </c>
      <c r="Q59" s="167" t="s">
        <v>181</v>
      </c>
      <c r="R59" s="168" t="s">
        <v>182</v>
      </c>
      <c r="S59" s="170" t="s">
        <v>183</v>
      </c>
      <c r="T59" s="170" t="s">
        <v>184</v>
      </c>
      <c r="U59" s="167" t="s">
        <v>239</v>
      </c>
      <c r="V59" s="167"/>
      <c r="W59" s="167"/>
      <c r="Y59" s="167" t="s">
        <v>240</v>
      </c>
      <c r="Z59" s="167"/>
      <c r="AA59" s="167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  <c r="BW59" s="165"/>
      <c r="BX59" s="165"/>
      <c r="BY59" s="165"/>
      <c r="BZ59" s="165"/>
      <c r="CA59" s="165"/>
      <c r="CB59" s="165"/>
      <c r="CC59" s="165"/>
      <c r="CD59" s="165"/>
      <c r="CE59" s="165"/>
      <c r="CF59" s="165"/>
      <c r="CG59" s="165"/>
      <c r="CH59" s="165"/>
      <c r="CI59" s="165"/>
      <c r="CJ59" s="165"/>
      <c r="CK59" s="165"/>
      <c r="CL59" s="165"/>
      <c r="CM59" s="165"/>
      <c r="CN59" s="165"/>
      <c r="CO59" s="165"/>
      <c r="CP59" s="165"/>
      <c r="CQ59" s="165"/>
      <c r="CR59" s="165"/>
      <c r="CS59" s="165"/>
      <c r="CT59" s="165"/>
      <c r="CU59" s="165"/>
      <c r="CV59" s="165"/>
      <c r="CW59" s="165"/>
      <c r="CX59" s="165"/>
      <c r="CY59" s="165"/>
      <c r="CZ59" s="165"/>
      <c r="DA59" s="165"/>
      <c r="DB59" s="165"/>
      <c r="DC59" s="165"/>
      <c r="DD59" s="165"/>
      <c r="DE59" s="165"/>
      <c r="DF59" s="165"/>
      <c r="DG59" s="165"/>
      <c r="DH59" s="165"/>
      <c r="DI59" s="165"/>
      <c r="DJ59" s="165"/>
      <c r="DK59" s="165"/>
      <c r="DL59" s="165"/>
      <c r="DM59" s="165"/>
      <c r="DN59" s="165"/>
      <c r="DO59" s="165"/>
      <c r="DP59" s="165"/>
      <c r="DQ59" s="165"/>
      <c r="DR59" s="165"/>
      <c r="DS59" s="165"/>
      <c r="DT59" s="165"/>
      <c r="DU59" s="165"/>
      <c r="DV59" s="165"/>
      <c r="DW59" s="165"/>
      <c r="DX59" s="165"/>
      <c r="DY59" s="165"/>
      <c r="DZ59" s="165"/>
      <c r="EA59" s="165"/>
      <c r="EB59" s="165"/>
      <c r="EC59" s="165"/>
      <c r="ED59" s="165"/>
      <c r="EE59" s="165"/>
      <c r="EF59" s="165"/>
      <c r="EG59" s="165"/>
      <c r="EH59" s="165"/>
      <c r="EI59" s="165"/>
      <c r="EJ59" s="165"/>
      <c r="EK59" s="165"/>
      <c r="EL59" s="165"/>
      <c r="EM59" s="165"/>
      <c r="EN59" s="165"/>
      <c r="EO59" s="165"/>
      <c r="EP59" s="165"/>
      <c r="EQ59" s="165"/>
      <c r="ER59" s="165"/>
      <c r="ES59" s="165"/>
      <c r="ET59" s="165"/>
      <c r="EU59" s="165"/>
      <c r="EV59" s="165"/>
      <c r="EW59" s="165"/>
      <c r="EX59" s="165"/>
      <c r="EY59" s="165"/>
      <c r="EZ59" s="165"/>
      <c r="FA59" s="165"/>
      <c r="FB59" s="165"/>
      <c r="FC59" s="165"/>
      <c r="FD59" s="165"/>
      <c r="FE59" s="165"/>
      <c r="FF59" s="165"/>
      <c r="FG59" s="165"/>
      <c r="FH59" s="165"/>
      <c r="FI59" s="165"/>
      <c r="FJ59" s="165"/>
      <c r="FK59" s="165"/>
      <c r="FL59" s="165"/>
      <c r="FM59" s="165"/>
      <c r="FN59" s="165"/>
      <c r="FO59" s="165"/>
      <c r="FP59" s="165"/>
      <c r="FQ59" s="165"/>
      <c r="FR59" s="165"/>
      <c r="FS59" s="165"/>
      <c r="FT59" s="165"/>
      <c r="FU59" s="165"/>
      <c r="FV59" s="165"/>
      <c r="FW59" s="165"/>
      <c r="FX59" s="165"/>
      <c r="FY59" s="165"/>
      <c r="FZ59" s="165"/>
      <c r="GA59" s="165"/>
      <c r="GB59" s="165"/>
      <c r="GC59" s="165"/>
      <c r="GD59" s="165"/>
      <c r="GE59" s="165"/>
      <c r="GF59" s="165"/>
      <c r="GG59" s="165"/>
      <c r="GH59" s="165"/>
      <c r="GI59" s="165"/>
      <c r="GJ59" s="165"/>
      <c r="GK59" s="165"/>
      <c r="GL59" s="165"/>
      <c r="GM59" s="165"/>
      <c r="GN59" s="165"/>
      <c r="GO59" s="165"/>
      <c r="GP59" s="165"/>
      <c r="GQ59" s="165"/>
      <c r="GR59" s="165"/>
      <c r="GS59" s="165"/>
      <c r="GT59" s="165"/>
      <c r="GU59" s="165"/>
      <c r="GV59" s="165"/>
      <c r="GW59" s="165"/>
      <c r="GX59" s="165"/>
      <c r="GY59" s="165"/>
      <c r="GZ59" s="165"/>
      <c r="HA59" s="165"/>
      <c r="HB59" s="165"/>
      <c r="HC59" s="165"/>
      <c r="HD59" s="165"/>
      <c r="HE59" s="165"/>
      <c r="HF59" s="165"/>
      <c r="HG59" s="165"/>
      <c r="HH59" s="165"/>
      <c r="HI59" s="165"/>
      <c r="HJ59" s="165"/>
      <c r="HK59" s="165"/>
      <c r="HL59" s="165"/>
      <c r="HM59" s="165"/>
      <c r="HN59" s="165"/>
      <c r="HO59" s="165"/>
      <c r="HP59" s="165"/>
      <c r="HQ59" s="165"/>
      <c r="HR59" s="165"/>
      <c r="HS59" s="165"/>
      <c r="HT59" s="165"/>
      <c r="HU59" s="165"/>
      <c r="HV59" s="165"/>
      <c r="HW59" s="165"/>
      <c r="HX59" s="165"/>
      <c r="HY59" s="165"/>
      <c r="HZ59" s="165"/>
      <c r="IA59" s="165"/>
      <c r="IB59" s="165"/>
      <c r="IC59" s="165"/>
      <c r="ID59" s="165"/>
      <c r="IE59" s="165"/>
      <c r="IF59" s="165"/>
      <c r="IG59" s="165"/>
      <c r="IH59" s="165"/>
      <c r="II59" s="165"/>
      <c r="IJ59" s="165"/>
      <c r="IK59" s="165"/>
      <c r="IL59" s="165"/>
      <c r="IM59" s="165"/>
      <c r="IN59" s="165"/>
      <c r="IO59" s="165"/>
      <c r="IP59" s="165"/>
      <c r="IQ59" s="165"/>
      <c r="IR59" s="165"/>
      <c r="IS59" s="165"/>
      <c r="IT59" s="165"/>
      <c r="IU59" s="165"/>
      <c r="IV59" s="165"/>
      <c r="IW59" s="165"/>
    </row>
    <row r="61" customFormat="false" ht="15" hidden="false" customHeight="false" outlineLevel="0" collapsed="false">
      <c r="B61" s="158" t="s">
        <v>214</v>
      </c>
    </row>
    <row r="62" customFormat="false" ht="15" hidden="false" customHeight="false" outlineLevel="0" collapsed="false">
      <c r="C62" s="159" t="s">
        <v>196</v>
      </c>
      <c r="D62" s="159" t="s">
        <v>196</v>
      </c>
      <c r="E62" s="159" t="s">
        <v>197</v>
      </c>
      <c r="F62" s="159" t="s">
        <v>198</v>
      </c>
      <c r="G62" s="159" t="s">
        <v>190</v>
      </c>
      <c r="H62" s="159" t="s">
        <v>102</v>
      </c>
      <c r="I62" s="159" t="s">
        <v>87</v>
      </c>
      <c r="J62" s="159" t="n">
        <v>1993</v>
      </c>
      <c r="K62" s="159" t="n">
        <v>99</v>
      </c>
      <c r="L62" s="159" t="n">
        <v>120</v>
      </c>
      <c r="M62" s="160" t="n">
        <f aca="false">MAX(K62:L62)</f>
        <v>120</v>
      </c>
      <c r="O62" s="160" t="n">
        <v>3</v>
      </c>
      <c r="P62" s="162" t="s">
        <v>193</v>
      </c>
      <c r="R62" s="160" t="n">
        <v>12293</v>
      </c>
      <c r="S62" s="163" t="n">
        <v>29.39</v>
      </c>
      <c r="T62" s="163" t="n">
        <v>1.39</v>
      </c>
      <c r="U62" s="192" t="n">
        <v>150</v>
      </c>
      <c r="V62" s="193" t="s">
        <v>241</v>
      </c>
      <c r="W62" s="192" t="n">
        <v>250</v>
      </c>
      <c r="Y62" s="192" t="n">
        <f aca="false">U62*$M62/1000</f>
        <v>18</v>
      </c>
      <c r="Z62" s="193" t="s">
        <v>241</v>
      </c>
      <c r="AA62" s="192" t="n">
        <f aca="false">W62*$M62/1000</f>
        <v>30</v>
      </c>
    </row>
    <row r="63" customFormat="false" ht="15" hidden="false" customHeight="false" outlineLevel="0" collapsed="false">
      <c r="C63" s="159" t="s">
        <v>187</v>
      </c>
      <c r="D63" s="159" t="s">
        <v>187</v>
      </c>
      <c r="E63" s="159" t="s">
        <v>216</v>
      </c>
      <c r="F63" s="159" t="s">
        <v>189</v>
      </c>
      <c r="G63" s="159" t="s">
        <v>190</v>
      </c>
      <c r="H63" s="159" t="s">
        <v>102</v>
      </c>
      <c r="I63" s="159" t="s">
        <v>87</v>
      </c>
      <c r="J63" s="159" t="n">
        <v>1969</v>
      </c>
      <c r="K63" s="159" t="n">
        <v>14.2</v>
      </c>
      <c r="L63" s="159" t="n">
        <v>19.5</v>
      </c>
      <c r="M63" s="160" t="n">
        <f aca="false">MAX(K63:L63)</f>
        <v>19.5</v>
      </c>
      <c r="O63" s="160" t="n">
        <v>1</v>
      </c>
      <c r="P63" s="162" t="s">
        <v>193</v>
      </c>
      <c r="R63" s="160" t="n">
        <v>13328</v>
      </c>
      <c r="S63" s="163" t="n">
        <v>72.86</v>
      </c>
      <c r="T63" s="163" t="n">
        <v>3.74</v>
      </c>
      <c r="U63" s="159" t="n">
        <v>150</v>
      </c>
      <c r="V63" s="162" t="s">
        <v>241</v>
      </c>
      <c r="W63" s="159" t="n">
        <v>250</v>
      </c>
      <c r="Y63" s="194" t="n">
        <f aca="false">U63*$M63/1000</f>
        <v>2.925</v>
      </c>
      <c r="Z63" s="195" t="s">
        <v>241</v>
      </c>
      <c r="AA63" s="194" t="n">
        <f aca="false">W63*$M63/1000</f>
        <v>4.875</v>
      </c>
    </row>
    <row r="64" customFormat="false" ht="15" hidden="false" customHeight="false" outlineLevel="0" collapsed="false">
      <c r="C64" s="159" t="s">
        <v>187</v>
      </c>
      <c r="D64" s="159" t="s">
        <v>187</v>
      </c>
      <c r="E64" s="159" t="s">
        <v>216</v>
      </c>
      <c r="F64" s="159" t="s">
        <v>189</v>
      </c>
      <c r="G64" s="159" t="s">
        <v>190</v>
      </c>
      <c r="H64" s="159" t="s">
        <v>102</v>
      </c>
      <c r="I64" s="159" t="s">
        <v>87</v>
      </c>
      <c r="J64" s="159" t="n">
        <v>1965</v>
      </c>
      <c r="K64" s="159" t="n">
        <v>92</v>
      </c>
      <c r="L64" s="159" t="n">
        <v>110</v>
      </c>
      <c r="M64" s="160" t="n">
        <f aca="false">MAX(K64:L64)</f>
        <v>110</v>
      </c>
      <c r="O64" s="160" t="n">
        <v>1</v>
      </c>
      <c r="P64" s="162" t="s">
        <v>193</v>
      </c>
      <c r="R64" s="160" t="n">
        <v>14544</v>
      </c>
      <c r="S64" s="163" t="n">
        <v>72.86</v>
      </c>
      <c r="T64" s="163" t="n">
        <v>3.74</v>
      </c>
      <c r="U64" s="159" t="n">
        <v>150</v>
      </c>
      <c r="V64" s="162" t="s">
        <v>241</v>
      </c>
      <c r="W64" s="159" t="n">
        <v>250</v>
      </c>
      <c r="Y64" s="194" t="n">
        <f aca="false">U64*$M64/1000</f>
        <v>16.5</v>
      </c>
      <c r="Z64" s="195" t="s">
        <v>241</v>
      </c>
      <c r="AA64" s="194" t="n">
        <f aca="false">W64*$M64/1000</f>
        <v>27.5</v>
      </c>
    </row>
    <row r="65" customFormat="false" ht="15" hidden="false" customHeight="false" outlineLevel="0" collapsed="false">
      <c r="C65" s="159" t="s">
        <v>187</v>
      </c>
      <c r="D65" s="159" t="s">
        <v>187</v>
      </c>
      <c r="E65" s="159" t="s">
        <v>220</v>
      </c>
      <c r="F65" s="159" t="s">
        <v>189</v>
      </c>
      <c r="G65" s="159" t="s">
        <v>190</v>
      </c>
      <c r="H65" s="159" t="s">
        <v>102</v>
      </c>
      <c r="I65" s="159" t="s">
        <v>87</v>
      </c>
      <c r="J65" s="159" t="n">
        <v>1992</v>
      </c>
      <c r="K65" s="159" t="n">
        <v>462</v>
      </c>
      <c r="L65" s="159" t="n">
        <v>564</v>
      </c>
      <c r="M65" s="160" t="n">
        <f aca="false">MAX(K65:L65)</f>
        <v>564</v>
      </c>
      <c r="O65" s="160" t="n">
        <v>3</v>
      </c>
      <c r="P65" s="162" t="s">
        <v>193</v>
      </c>
      <c r="R65" s="160" t="n">
        <v>12545</v>
      </c>
      <c r="S65" s="163" t="n">
        <v>57</v>
      </c>
      <c r="T65" s="163" t="n">
        <v>2.8</v>
      </c>
      <c r="U65" s="159" t="n">
        <v>150</v>
      </c>
      <c r="V65" s="162" t="s">
        <v>241</v>
      </c>
      <c r="W65" s="159" t="n">
        <v>250</v>
      </c>
      <c r="Y65" s="194" t="n">
        <f aca="false">U65*$M65/1000</f>
        <v>84.6</v>
      </c>
      <c r="Z65" s="195" t="s">
        <v>241</v>
      </c>
      <c r="AA65" s="194" t="n">
        <f aca="false">W65*$M65/1000</f>
        <v>141</v>
      </c>
    </row>
    <row r="66" customFormat="false" ht="15" hidden="false" customHeight="false" outlineLevel="0" collapsed="false">
      <c r="C66" s="159" t="s">
        <v>187</v>
      </c>
      <c r="D66" s="159" t="s">
        <v>187</v>
      </c>
      <c r="E66" s="159" t="s">
        <v>188</v>
      </c>
      <c r="F66" s="159" t="s">
        <v>189</v>
      </c>
      <c r="G66" s="159" t="s">
        <v>190</v>
      </c>
      <c r="H66" s="159" t="s">
        <v>221</v>
      </c>
      <c r="I66" s="159" t="s">
        <v>87</v>
      </c>
      <c r="J66" s="159" t="n">
        <v>1972</v>
      </c>
      <c r="K66" s="159" t="n">
        <v>186</v>
      </c>
      <c r="L66" s="159" t="n">
        <v>244</v>
      </c>
      <c r="M66" s="160" t="n">
        <f aca="false">MAX(K66:L66)</f>
        <v>244</v>
      </c>
      <c r="O66" s="160" t="n">
        <v>3</v>
      </c>
      <c r="P66" s="162" t="s">
        <v>193</v>
      </c>
      <c r="R66" s="160" t="n">
        <v>11566</v>
      </c>
      <c r="S66" s="163" t="n">
        <v>31.94</v>
      </c>
      <c r="T66" s="163" t="n">
        <v>2.04</v>
      </c>
      <c r="U66" s="159" t="n">
        <v>150</v>
      </c>
      <c r="V66" s="162" t="s">
        <v>241</v>
      </c>
      <c r="W66" s="159" t="n">
        <v>250</v>
      </c>
      <c r="Y66" s="194" t="n">
        <f aca="false">U66*$M66/1000</f>
        <v>36.6</v>
      </c>
      <c r="Z66" s="195" t="s">
        <v>241</v>
      </c>
      <c r="AA66" s="194" t="n">
        <f aca="false">W66*$M66/1000</f>
        <v>61</v>
      </c>
    </row>
    <row r="67" customFormat="false" ht="15" hidden="false" customHeight="false" outlineLevel="0" collapsed="false">
      <c r="C67" s="159" t="s">
        <v>196</v>
      </c>
      <c r="D67" s="159" t="s">
        <v>196</v>
      </c>
      <c r="E67" s="159" t="s">
        <v>197</v>
      </c>
      <c r="F67" s="159" t="s">
        <v>198</v>
      </c>
      <c r="G67" s="159" t="s">
        <v>190</v>
      </c>
      <c r="H67" s="159" t="s">
        <v>221</v>
      </c>
      <c r="I67" s="159" t="s">
        <v>87</v>
      </c>
      <c r="J67" s="159" t="n">
        <v>1972</v>
      </c>
      <c r="K67" s="159" t="n">
        <v>10</v>
      </c>
      <c r="L67" s="159" t="n">
        <v>11</v>
      </c>
      <c r="M67" s="160" t="n">
        <f aca="false">MAX(K67:L67)</f>
        <v>11</v>
      </c>
      <c r="O67" s="160" t="n">
        <v>1</v>
      </c>
      <c r="P67" s="162" t="s">
        <v>193</v>
      </c>
      <c r="R67" s="160" t="n">
        <v>10160</v>
      </c>
      <c r="S67" s="163" t="n">
        <v>0.81</v>
      </c>
      <c r="T67" s="163" t="n">
        <v>1.39</v>
      </c>
      <c r="U67" s="159" t="n">
        <v>150</v>
      </c>
      <c r="V67" s="162" t="s">
        <v>241</v>
      </c>
      <c r="W67" s="159" t="n">
        <v>250</v>
      </c>
      <c r="Y67" s="194" t="n">
        <f aca="false">U67*$M67/1000</f>
        <v>1.65</v>
      </c>
      <c r="Z67" s="195" t="s">
        <v>241</v>
      </c>
      <c r="AA67" s="194" t="n">
        <f aca="false">W67*$M67/1000</f>
        <v>2.75</v>
      </c>
    </row>
    <row r="68" customFormat="false" ht="15" hidden="false" customHeight="false" outlineLevel="0" collapsed="false">
      <c r="C68" s="159" t="s">
        <v>196</v>
      </c>
      <c r="D68" s="159" t="s">
        <v>196</v>
      </c>
      <c r="E68" s="159" t="s">
        <v>223</v>
      </c>
      <c r="F68" s="159" t="s">
        <v>198</v>
      </c>
      <c r="G68" s="159" t="s">
        <v>190</v>
      </c>
      <c r="H68" s="159" t="s">
        <v>221</v>
      </c>
      <c r="I68" s="159" t="s">
        <v>87</v>
      </c>
      <c r="J68" s="159" t="n">
        <v>1972</v>
      </c>
      <c r="K68" s="159" t="n">
        <v>85</v>
      </c>
      <c r="L68" s="159" t="n">
        <v>98</v>
      </c>
      <c r="M68" s="160" t="n">
        <f aca="false">MAX(K68:L68)</f>
        <v>98</v>
      </c>
      <c r="O68" s="160" t="n">
        <v>1</v>
      </c>
      <c r="P68" s="162" t="s">
        <v>193</v>
      </c>
      <c r="R68" s="160" t="n">
        <v>11814</v>
      </c>
      <c r="S68" s="163" t="n">
        <v>48.7</v>
      </c>
      <c r="T68" s="163" t="n">
        <v>3.74</v>
      </c>
      <c r="U68" s="159" t="n">
        <v>150</v>
      </c>
      <c r="V68" s="162" t="s">
        <v>241</v>
      </c>
      <c r="W68" s="159" t="n">
        <v>250</v>
      </c>
      <c r="Y68" s="194" t="n">
        <f aca="false">U68*$M68/1000</f>
        <v>14.7</v>
      </c>
      <c r="Z68" s="195" t="s">
        <v>241</v>
      </c>
      <c r="AA68" s="194" t="n">
        <f aca="false">W68*$M68/1000</f>
        <v>24.5</v>
      </c>
    </row>
    <row r="69" customFormat="false" ht="15" hidden="false" customHeight="false" outlineLevel="0" collapsed="false">
      <c r="C69" s="159" t="s">
        <v>187</v>
      </c>
      <c r="D69" s="159" t="s">
        <v>187</v>
      </c>
      <c r="E69" s="159" t="s">
        <v>216</v>
      </c>
      <c r="F69" s="159" t="s">
        <v>189</v>
      </c>
      <c r="G69" s="159" t="s">
        <v>190</v>
      </c>
      <c r="H69" s="159" t="s">
        <v>221</v>
      </c>
      <c r="I69" s="159" t="s">
        <v>87</v>
      </c>
      <c r="J69" s="159" t="n">
        <v>1969</v>
      </c>
      <c r="K69" s="159" t="n">
        <v>30</v>
      </c>
      <c r="L69" s="159" t="n">
        <v>42.8</v>
      </c>
      <c r="M69" s="160" t="n">
        <f aca="false">MAX(K69:L69)</f>
        <v>42.8</v>
      </c>
      <c r="O69" s="160" t="n">
        <v>1</v>
      </c>
      <c r="P69" s="162" t="s">
        <v>193</v>
      </c>
      <c r="R69" s="160" t="n">
        <v>14083</v>
      </c>
      <c r="S69" s="163" t="n">
        <v>0.07</v>
      </c>
      <c r="T69" s="163" t="n">
        <v>3.74</v>
      </c>
      <c r="U69" s="159" t="n">
        <v>150</v>
      </c>
      <c r="V69" s="162" t="s">
        <v>241</v>
      </c>
      <c r="W69" s="159" t="n">
        <v>250</v>
      </c>
      <c r="Y69" s="194" t="n">
        <f aca="false">U69*$M69/1000</f>
        <v>6.42</v>
      </c>
      <c r="Z69" s="195" t="s">
        <v>241</v>
      </c>
      <c r="AA69" s="194" t="n">
        <f aca="false">W69*$M69/1000</f>
        <v>10.7</v>
      </c>
    </row>
    <row r="70" customFormat="false" ht="15" hidden="false" customHeight="false" outlineLevel="0" collapsed="false">
      <c r="C70" s="159" t="s">
        <v>196</v>
      </c>
      <c r="D70" s="159" t="s">
        <v>196</v>
      </c>
      <c r="E70" s="159" t="s">
        <v>203</v>
      </c>
      <c r="F70" s="159" t="s">
        <v>198</v>
      </c>
      <c r="G70" s="159" t="s">
        <v>190</v>
      </c>
      <c r="H70" s="159" t="s">
        <v>221</v>
      </c>
      <c r="I70" s="159" t="s">
        <v>195</v>
      </c>
      <c r="J70" s="159" t="n">
        <v>1944</v>
      </c>
      <c r="K70" s="159" t="n">
        <v>40</v>
      </c>
      <c r="L70" s="159" t="n">
        <v>40</v>
      </c>
      <c r="M70" s="160" t="n">
        <f aca="false">MAX(K70:L70)</f>
        <v>40</v>
      </c>
      <c r="O70" s="160" t="n">
        <v>19</v>
      </c>
      <c r="P70" s="162" t="s">
        <v>193</v>
      </c>
      <c r="R70" s="160" t="n">
        <v>12966</v>
      </c>
      <c r="S70" s="163" t="n">
        <v>1.14</v>
      </c>
      <c r="T70" s="163" t="n">
        <v>1.33</v>
      </c>
      <c r="U70" s="159" t="n">
        <v>150</v>
      </c>
      <c r="V70" s="162" t="s">
        <v>241</v>
      </c>
      <c r="W70" s="159" t="n">
        <v>250</v>
      </c>
      <c r="Y70" s="194" t="n">
        <f aca="false">U70*$M70/1000</f>
        <v>6</v>
      </c>
      <c r="Z70" s="195" t="s">
        <v>241</v>
      </c>
      <c r="AA70" s="194" t="n">
        <f aca="false">W70*$M70/1000</f>
        <v>10</v>
      </c>
    </row>
    <row r="71" customFormat="false" ht="15" hidden="false" customHeight="false" outlineLevel="0" collapsed="false">
      <c r="C71" s="159" t="s">
        <v>206</v>
      </c>
      <c r="D71" s="159" t="s">
        <v>187</v>
      </c>
      <c r="E71" s="159" t="s">
        <v>207</v>
      </c>
      <c r="F71" s="159" t="s">
        <v>189</v>
      </c>
      <c r="G71" s="159" t="s">
        <v>190</v>
      </c>
      <c r="H71" s="159" t="s">
        <v>221</v>
      </c>
      <c r="I71" s="159" t="s">
        <v>218</v>
      </c>
      <c r="J71" s="159" t="n">
        <v>1983</v>
      </c>
      <c r="K71" s="159" t="n">
        <v>5.94</v>
      </c>
      <c r="L71" s="159" t="n">
        <v>7.92</v>
      </c>
      <c r="M71" s="160" t="n">
        <f aca="false">MAX(K71:L71)</f>
        <v>7.92</v>
      </c>
      <c r="O71" s="160" t="n">
        <v>1</v>
      </c>
      <c r="P71" s="162" t="s">
        <v>193</v>
      </c>
      <c r="R71" s="160" t="n">
        <v>13820</v>
      </c>
      <c r="S71" s="163" t="n">
        <v>0</v>
      </c>
      <c r="T71" s="163" t="n">
        <v>3.74</v>
      </c>
      <c r="U71" s="159" t="n">
        <v>150</v>
      </c>
      <c r="V71" s="162" t="s">
        <v>241</v>
      </c>
      <c r="W71" s="159" t="n">
        <v>250</v>
      </c>
      <c r="Y71" s="194" t="n">
        <f aca="false">U71*$M71/1000</f>
        <v>1.188</v>
      </c>
      <c r="Z71" s="195" t="s">
        <v>241</v>
      </c>
      <c r="AA71" s="194" t="n">
        <f aca="false">W71*$M71/1000</f>
        <v>1.98</v>
      </c>
    </row>
    <row r="72" customFormat="false" ht="15" hidden="false" customHeight="false" outlineLevel="0" collapsed="false">
      <c r="C72" s="159" t="s">
        <v>187</v>
      </c>
      <c r="D72" s="159" t="s">
        <v>187</v>
      </c>
      <c r="E72" s="159" t="s">
        <v>208</v>
      </c>
      <c r="F72" s="159" t="s">
        <v>189</v>
      </c>
      <c r="G72" s="159" t="s">
        <v>190</v>
      </c>
      <c r="H72" s="159" t="s">
        <v>221</v>
      </c>
      <c r="I72" s="159" t="s">
        <v>87</v>
      </c>
      <c r="J72" s="159" t="n">
        <v>1971</v>
      </c>
      <c r="K72" s="159" t="n">
        <v>56.8</v>
      </c>
      <c r="L72" s="159" t="n">
        <v>78</v>
      </c>
      <c r="M72" s="160" t="n">
        <f aca="false">MAX(K72:L72)</f>
        <v>78</v>
      </c>
      <c r="O72" s="160" t="n">
        <v>1</v>
      </c>
      <c r="P72" s="162" t="s">
        <v>193</v>
      </c>
      <c r="R72" s="160" t="n">
        <v>13422</v>
      </c>
      <c r="S72" s="163" t="n">
        <v>28.73</v>
      </c>
      <c r="T72" s="163" t="n">
        <v>3.74</v>
      </c>
      <c r="U72" s="159" t="n">
        <v>150</v>
      </c>
      <c r="V72" s="162" t="s">
        <v>241</v>
      </c>
      <c r="W72" s="159" t="n">
        <v>250</v>
      </c>
      <c r="Y72" s="194" t="n">
        <f aca="false">U72*$M72/1000</f>
        <v>11.7</v>
      </c>
      <c r="Z72" s="195" t="s">
        <v>241</v>
      </c>
      <c r="AA72" s="194" t="n">
        <f aca="false">W72*$M72/1000</f>
        <v>19.5</v>
      </c>
    </row>
    <row r="73" customFormat="false" ht="15" hidden="false" customHeight="false" outlineLevel="0" collapsed="false">
      <c r="C73" s="159" t="s">
        <v>196</v>
      </c>
      <c r="D73" s="159" t="s">
        <v>196</v>
      </c>
      <c r="E73" s="159" t="s">
        <v>224</v>
      </c>
      <c r="F73" s="159" t="s">
        <v>198</v>
      </c>
      <c r="G73" s="159" t="s">
        <v>190</v>
      </c>
      <c r="H73" s="159" t="s">
        <v>221</v>
      </c>
      <c r="I73" s="159" t="s">
        <v>87</v>
      </c>
      <c r="J73" s="159" t="n">
        <v>1968</v>
      </c>
      <c r="K73" s="159" t="n">
        <v>93</v>
      </c>
      <c r="L73" s="159" t="n">
        <v>104</v>
      </c>
      <c r="M73" s="160" t="n">
        <f aca="false">MAX(K73:L73)</f>
        <v>104</v>
      </c>
      <c r="O73" s="160" t="n">
        <v>1</v>
      </c>
      <c r="P73" s="162" t="s">
        <v>193</v>
      </c>
      <c r="R73" s="160" t="n">
        <v>17125</v>
      </c>
      <c r="S73" s="163" t="n">
        <v>83.01</v>
      </c>
      <c r="T73" s="163" t="n">
        <v>3.74</v>
      </c>
      <c r="U73" s="159" t="n">
        <v>150</v>
      </c>
      <c r="V73" s="162" t="s">
        <v>241</v>
      </c>
      <c r="W73" s="159" t="n">
        <v>250</v>
      </c>
      <c r="Y73" s="194" t="n">
        <f aca="false">U73*$M73/1000</f>
        <v>15.6</v>
      </c>
      <c r="Z73" s="195" t="s">
        <v>241</v>
      </c>
      <c r="AA73" s="194" t="n">
        <f aca="false">W73*$M73/1000</f>
        <v>26</v>
      </c>
    </row>
    <row r="74" customFormat="false" ht="15" hidden="false" customHeight="false" outlineLevel="0" collapsed="false">
      <c r="C74" s="159" t="s">
        <v>206</v>
      </c>
      <c r="D74" s="159" t="s">
        <v>187</v>
      </c>
      <c r="E74" s="159" t="s">
        <v>210</v>
      </c>
      <c r="F74" s="159" t="s">
        <v>189</v>
      </c>
      <c r="G74" s="159" t="s">
        <v>190</v>
      </c>
      <c r="H74" s="159" t="s">
        <v>221</v>
      </c>
      <c r="I74" s="159" t="s">
        <v>218</v>
      </c>
      <c r="J74" s="159" t="n">
        <v>1969</v>
      </c>
      <c r="K74" s="159" t="n">
        <v>3.92</v>
      </c>
      <c r="L74" s="159" t="n">
        <v>3.92</v>
      </c>
      <c r="M74" s="160" t="n">
        <f aca="false">MAX(K74:L74)</f>
        <v>3.92</v>
      </c>
      <c r="O74" s="160" t="n">
        <v>1</v>
      </c>
      <c r="P74" s="162" t="s">
        <v>193</v>
      </c>
      <c r="R74" s="160" t="n">
        <v>10400</v>
      </c>
      <c r="S74" s="163" t="n">
        <v>0</v>
      </c>
      <c r="T74" s="163" t="n">
        <v>3.74</v>
      </c>
      <c r="U74" s="159" t="n">
        <v>150</v>
      </c>
      <c r="V74" s="162" t="s">
        <v>241</v>
      </c>
      <c r="W74" s="159" t="n">
        <v>250</v>
      </c>
      <c r="Y74" s="194" t="n">
        <f aca="false">U74*$M74/1000</f>
        <v>0.588</v>
      </c>
      <c r="Z74" s="195" t="s">
        <v>241</v>
      </c>
      <c r="AA74" s="194" t="n">
        <f aca="false">W74*$M74/1000</f>
        <v>0.98</v>
      </c>
    </row>
    <row r="75" customFormat="false" ht="15" hidden="false" customHeight="false" outlineLevel="0" collapsed="false">
      <c r="C75" s="159" t="s">
        <v>196</v>
      </c>
      <c r="D75" s="159" t="s">
        <v>196</v>
      </c>
      <c r="E75" s="159" t="s">
        <v>212</v>
      </c>
      <c r="F75" s="159" t="s">
        <v>198</v>
      </c>
      <c r="G75" s="159" t="s">
        <v>190</v>
      </c>
      <c r="H75" s="159" t="s">
        <v>221</v>
      </c>
      <c r="I75" s="159" t="s">
        <v>87</v>
      </c>
      <c r="J75" s="159" t="n">
        <v>1967</v>
      </c>
      <c r="K75" s="159" t="n">
        <v>8</v>
      </c>
      <c r="L75" s="159" t="n">
        <v>8</v>
      </c>
      <c r="M75" s="160" t="n">
        <f aca="false">MAX(K75:L75)</f>
        <v>8</v>
      </c>
      <c r="O75" s="160" t="n">
        <v>1</v>
      </c>
      <c r="P75" s="162" t="s">
        <v>193</v>
      </c>
      <c r="R75" s="160" t="n">
        <v>10848</v>
      </c>
      <c r="S75" s="163" t="n">
        <v>33.76</v>
      </c>
      <c r="T75" s="163" t="n">
        <v>3.74</v>
      </c>
      <c r="U75" s="159" t="n">
        <v>150</v>
      </c>
      <c r="V75" s="162" t="s">
        <v>241</v>
      </c>
      <c r="W75" s="159" t="n">
        <v>250</v>
      </c>
      <c r="Y75" s="194" t="n">
        <f aca="false">U75*$M75/1000</f>
        <v>1.2</v>
      </c>
      <c r="Z75" s="195" t="s">
        <v>241</v>
      </c>
      <c r="AA75" s="194" t="n">
        <f aca="false">W75*$M75/1000</f>
        <v>2</v>
      </c>
    </row>
    <row r="76" customFormat="false" ht="15" hidden="false" customHeight="false" outlineLevel="0" collapsed="false">
      <c r="C76" s="159" t="s">
        <v>196</v>
      </c>
      <c r="D76" s="159" t="s">
        <v>196</v>
      </c>
      <c r="E76" s="159" t="s">
        <v>212</v>
      </c>
      <c r="F76" s="159" t="s">
        <v>198</v>
      </c>
      <c r="G76" s="159" t="s">
        <v>190</v>
      </c>
      <c r="H76" s="159" t="s">
        <v>102</v>
      </c>
      <c r="I76" s="159" t="s">
        <v>218</v>
      </c>
      <c r="J76" s="159" t="n">
        <v>1995</v>
      </c>
      <c r="K76" s="159" t="n">
        <v>228</v>
      </c>
      <c r="L76" s="159" t="n">
        <v>262</v>
      </c>
      <c r="M76" s="160" t="n">
        <f aca="false">MAX(K76:L76)</f>
        <v>262</v>
      </c>
      <c r="O76" s="160" t="n">
        <v>38</v>
      </c>
      <c r="P76" s="162" t="s">
        <v>193</v>
      </c>
      <c r="R76" s="160" t="n">
        <v>9450</v>
      </c>
      <c r="S76" s="163" t="n">
        <v>1.12</v>
      </c>
      <c r="T76" s="163" t="n">
        <v>0.99</v>
      </c>
      <c r="U76" s="159" t="n">
        <v>150</v>
      </c>
      <c r="V76" s="162" t="s">
        <v>241</v>
      </c>
      <c r="W76" s="159" t="n">
        <v>250</v>
      </c>
      <c r="Y76" s="194" t="n">
        <f aca="false">U76*$M76/1000</f>
        <v>39.3</v>
      </c>
      <c r="Z76" s="195" t="s">
        <v>241</v>
      </c>
      <c r="AA76" s="194" t="n">
        <f aca="false">W76*$M76/1000</f>
        <v>65.5</v>
      </c>
    </row>
    <row r="77" customFormat="false" ht="15" hidden="false" customHeight="false" outlineLevel="0" collapsed="false">
      <c r="C77" s="159" t="s">
        <v>196</v>
      </c>
      <c r="D77" s="159" t="s">
        <v>196</v>
      </c>
      <c r="E77" s="159" t="s">
        <v>233</v>
      </c>
      <c r="F77" s="159" t="s">
        <v>198</v>
      </c>
      <c r="G77" s="159" t="s">
        <v>190</v>
      </c>
      <c r="H77" s="159" t="s">
        <v>234</v>
      </c>
      <c r="I77" s="159" t="s">
        <v>218</v>
      </c>
      <c r="J77" s="159" t="n">
        <v>1994</v>
      </c>
      <c r="K77" s="159" t="n">
        <v>5.2</v>
      </c>
      <c r="L77" s="159" t="n">
        <v>5.2</v>
      </c>
      <c r="M77" s="160" t="n">
        <f aca="false">MAX(K77:L77)</f>
        <v>5.2</v>
      </c>
      <c r="O77" s="160" t="n">
        <v>1</v>
      </c>
      <c r="P77" s="162" t="s">
        <v>235</v>
      </c>
      <c r="R77" s="160" t="n">
        <v>12392</v>
      </c>
      <c r="S77" s="163" t="n">
        <v>0</v>
      </c>
      <c r="T77" s="163" t="n">
        <v>3.74</v>
      </c>
      <c r="U77" s="159" t="n">
        <v>150</v>
      </c>
      <c r="V77" s="162" t="s">
        <v>241</v>
      </c>
      <c r="W77" s="159" t="n">
        <v>250</v>
      </c>
      <c r="Y77" s="194" t="n">
        <f aca="false">U77*$M77/1000</f>
        <v>0.78</v>
      </c>
      <c r="Z77" s="195" t="s">
        <v>241</v>
      </c>
      <c r="AA77" s="194" t="n">
        <f aca="false">W77*$M77/1000</f>
        <v>1.3</v>
      </c>
    </row>
    <row r="79" customFormat="false" ht="15.75" hidden="false" customHeight="false" outlineLevel="0" collapsed="false">
      <c r="J79" s="157"/>
      <c r="K79" s="157"/>
      <c r="L79" s="157"/>
      <c r="M79" s="177" t="n">
        <f aca="false">SUM(M62:M77)</f>
        <v>1718.34</v>
      </c>
      <c r="N79" s="196"/>
      <c r="O79" s="122"/>
      <c r="P79" s="197"/>
      <c r="Q79" s="157"/>
      <c r="R79" s="122"/>
      <c r="S79" s="198"/>
      <c r="T79" s="198"/>
      <c r="U79" s="157"/>
      <c r="V79" s="157"/>
      <c r="W79" s="157"/>
      <c r="X79" s="157"/>
      <c r="Y79" s="199" t="n">
        <f aca="false">SUM(Y62:Y77)</f>
        <v>257.751</v>
      </c>
      <c r="Z79" s="157"/>
      <c r="AA79" s="199" t="n">
        <f aca="false">SUM(AA62:AA77)</f>
        <v>429.585</v>
      </c>
    </row>
    <row r="80" customFormat="false" ht="15.75" hidden="false" customHeight="false" outlineLevel="0" collapsed="false">
      <c r="A80" s="178"/>
      <c r="B80" s="179"/>
      <c r="C80" s="180"/>
      <c r="D80" s="180"/>
      <c r="E80" s="180"/>
    </row>
    <row r="81" customFormat="false" ht="13.5" hidden="false" customHeight="false" outlineLevel="0" collapsed="false">
      <c r="A81" s="181" t="n">
        <v>1</v>
      </c>
      <c r="B81" s="182" t="s">
        <v>230</v>
      </c>
    </row>
    <row r="82" customFormat="false" ht="13.5" hidden="false" customHeight="false" outlineLevel="0" collapsed="false">
      <c r="A82" s="181" t="n">
        <v>2</v>
      </c>
      <c r="B82" s="182" t="s">
        <v>231</v>
      </c>
      <c r="C82" s="182"/>
    </row>
    <row r="83" customFormat="false" ht="13.5" hidden="false" customHeight="false" outlineLevel="0" collapsed="false">
      <c r="A83" s="181" t="n">
        <v>3</v>
      </c>
      <c r="B83" s="182" t="s">
        <v>232</v>
      </c>
    </row>
  </sheetData>
  <mergeCells count="4">
    <mergeCell ref="A1:Z1"/>
    <mergeCell ref="A57:Z57"/>
    <mergeCell ref="U59:W59"/>
    <mergeCell ref="Y59:AA5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&amp;L&amp;F/&amp;A&amp;C&amp;P&amp;R&amp;D&amp;T</oddFooter>
  </headerFooter>
  <rowBreaks count="2" manualBreakCount="2">
    <brk id="46" man="true" max="16383" min="0"/>
    <brk id="56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8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H13" activeCellId="0" sqref="H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2.7"/>
    <col collapsed="false" customWidth="true" hidden="false" outlineLevel="0" max="2" min="2" style="3" width="35.28"/>
    <col collapsed="false" customWidth="true" hidden="false" outlineLevel="0" max="3" min="3" style="3" width="26.28"/>
    <col collapsed="false" customWidth="true" hidden="false" outlineLevel="0" max="5" min="4" style="3" width="12.56"/>
    <col collapsed="false" customWidth="true" hidden="false" outlineLevel="0" max="6" min="6" style="3" width="10.99"/>
    <col collapsed="false" customWidth="true" hidden="false" outlineLevel="0" max="7" min="7" style="3" width="11.85"/>
    <col collapsed="false" customWidth="true" hidden="false" outlineLevel="0" max="8" min="8" style="3" width="12.28"/>
    <col collapsed="false" customWidth="true" hidden="false" outlineLevel="0" max="9" min="9" style="3" width="9.85"/>
    <col collapsed="false" customWidth="true" hidden="false" outlineLevel="0" max="10" min="10" style="3" width="4.28"/>
    <col collapsed="false" customWidth="true" hidden="false" outlineLevel="0" max="11" min="11" style="3" width="27.28"/>
    <col collapsed="false" customWidth="false" hidden="false" outlineLevel="0" max="13" min="12" style="3" width="9.14"/>
    <col collapsed="false" customWidth="true" hidden="false" outlineLevel="0" max="14" min="14" style="3" width="10.56"/>
    <col collapsed="false" customWidth="true" hidden="false" outlineLevel="0" max="15" min="15" style="3" width="3.42"/>
    <col collapsed="false" customWidth="false" hidden="false" outlineLevel="0" max="257" min="16" style="3" width="9.14"/>
  </cols>
  <sheetData>
    <row r="1" customFormat="false" ht="18.75" hidden="false" customHeight="false" outlineLevel="0" collapsed="false">
      <c r="B1" s="69" t="s">
        <v>242</v>
      </c>
    </row>
    <row r="2" customFormat="false" ht="12.75" hidden="false" customHeight="false" outlineLevel="0" collapsed="false">
      <c r="B2" s="70" t="s">
        <v>122</v>
      </c>
      <c r="C2" s="5" t="s">
        <v>243</v>
      </c>
    </row>
    <row r="3" customFormat="false" ht="12.75" hidden="false" customHeight="false" outlineLevel="0" collapsed="false">
      <c r="B3" s="3" t="n">
        <v>1</v>
      </c>
      <c r="C3" s="3" t="s">
        <v>244</v>
      </c>
    </row>
    <row r="4" customFormat="false" ht="12.75" hidden="false" customHeight="false" outlineLevel="0" collapsed="false">
      <c r="B4" s="3" t="n">
        <v>2</v>
      </c>
      <c r="C4" s="3" t="s">
        <v>245</v>
      </c>
    </row>
    <row r="5" customFormat="false" ht="12.75" hidden="false" customHeight="false" outlineLevel="0" collapsed="false">
      <c r="B5" s="3" t="n">
        <v>3</v>
      </c>
      <c r="C5" s="3" t="s">
        <v>246</v>
      </c>
    </row>
    <row r="6" customFormat="false" ht="12.75" hidden="false" customHeight="false" outlineLevel="0" collapsed="false">
      <c r="B6" s="3" t="n">
        <v>4</v>
      </c>
      <c r="C6" s="3" t="s">
        <v>247</v>
      </c>
    </row>
    <row r="7" customFormat="false" ht="12.75" hidden="false" customHeight="false" outlineLevel="0" collapsed="false">
      <c r="B7" s="3" t="n">
        <v>5</v>
      </c>
      <c r="C7" s="3" t="s">
        <v>248</v>
      </c>
    </row>
    <row r="8" customFormat="false" ht="12.75" hidden="false" customHeight="false" outlineLevel="0" collapsed="false">
      <c r="B8" s="3" t="n">
        <v>6</v>
      </c>
      <c r="C8" s="3" t="s">
        <v>249</v>
      </c>
    </row>
    <row r="10" customFormat="false" ht="12.75" hidden="false" customHeight="false" outlineLevel="0" collapsed="false">
      <c r="A10" s="3" t="n">
        <v>1</v>
      </c>
      <c r="B10" s="3" t="str">
        <f aca="false">C3</f>
        <v>Acquire Cinergy</v>
      </c>
      <c r="G10" s="200"/>
      <c r="H10" s="200"/>
      <c r="J10" s="200"/>
    </row>
    <row r="11" customFormat="false" ht="12.75" hidden="false" customHeight="false" outlineLevel="0" collapsed="false">
      <c r="B11" s="3" t="s">
        <v>250</v>
      </c>
      <c r="C11" s="3" t="s">
        <v>251</v>
      </c>
      <c r="G11" s="201" t="n">
        <f aca="false">+'accretion-dilutionIQ'!D6</f>
        <v>21.4375</v>
      </c>
      <c r="H11" s="200"/>
      <c r="J11" s="200"/>
    </row>
    <row r="12" customFormat="false" ht="12.75" hidden="false" customHeight="false" outlineLevel="0" collapsed="false">
      <c r="C12" s="3" t="s">
        <v>252</v>
      </c>
      <c r="G12" s="202" t="n">
        <v>0.5</v>
      </c>
      <c r="H12" s="200"/>
      <c r="J12" s="200"/>
    </row>
    <row r="13" customFormat="false" ht="12.75" hidden="false" customHeight="false" outlineLevel="0" collapsed="false">
      <c r="C13" s="3" t="s">
        <v>253</v>
      </c>
      <c r="G13" s="201" t="n">
        <f aca="false">+G11*(1+G12)</f>
        <v>32.15625</v>
      </c>
      <c r="H13" s="200"/>
      <c r="J13" s="200"/>
    </row>
    <row r="14" customFormat="false" ht="12.75" hidden="false" customHeight="false" outlineLevel="0" collapsed="false">
      <c r="C14" s="3" t="s">
        <v>254</v>
      </c>
      <c r="G14" s="203" t="n">
        <f aca="false">+'Corp I-S&amp;B-S'!J41</f>
        <v>159.246</v>
      </c>
      <c r="H14" s="200"/>
      <c r="J14" s="200"/>
    </row>
    <row r="15" customFormat="false" ht="12.75" hidden="false" customHeight="false" outlineLevel="0" collapsed="false">
      <c r="C15" s="3" t="s">
        <v>255</v>
      </c>
      <c r="G15" s="204" t="n">
        <f aca="false">+G14*G13</f>
        <v>5120.7541875</v>
      </c>
      <c r="H15" s="205"/>
      <c r="I15" s="206"/>
      <c r="K15" s="206"/>
    </row>
    <row r="16" customFormat="false" ht="12.75" hidden="false" customHeight="false" outlineLevel="0" collapsed="false">
      <c r="C16" s="3" t="s">
        <v>256</v>
      </c>
      <c r="G16" s="207" t="n">
        <v>29.415</v>
      </c>
      <c r="H16" s="205"/>
      <c r="I16" s="208"/>
      <c r="J16" s="209"/>
      <c r="K16" s="209"/>
    </row>
    <row r="17" customFormat="false" ht="12.75" hidden="false" customHeight="false" outlineLevel="0" collapsed="false">
      <c r="C17" s="3" t="s">
        <v>257</v>
      </c>
      <c r="D17" s="210" t="n">
        <v>0.2</v>
      </c>
      <c r="G17" s="204" t="n">
        <f aca="false">+G13-D17*(G13-G16)</f>
        <v>31.608</v>
      </c>
      <c r="H17" s="209"/>
      <c r="I17" s="208"/>
      <c r="J17" s="209"/>
      <c r="K17" s="209"/>
    </row>
    <row r="18" customFormat="false" ht="12.75" hidden="false" customHeight="false" outlineLevel="0" collapsed="false">
      <c r="C18" s="3" t="s">
        <v>258</v>
      </c>
      <c r="G18" s="204" t="n">
        <f aca="false">+'Corp I-S&amp;B-S'!$C$71</f>
        <v>3549.599</v>
      </c>
      <c r="H18" s="205"/>
      <c r="J18" s="209"/>
    </row>
    <row r="19" customFormat="false" ht="12.75" hidden="false" customHeight="false" outlineLevel="0" collapsed="false">
      <c r="C19" s="3" t="s">
        <v>259</v>
      </c>
      <c r="D19" s="210"/>
      <c r="G19" s="204" t="n">
        <f aca="false">+G18+G15</f>
        <v>8670.3531875</v>
      </c>
      <c r="H19" s="209"/>
      <c r="I19" s="208"/>
      <c r="J19" s="209"/>
      <c r="K19" s="209"/>
    </row>
    <row r="21" customFormat="false" ht="12.75" hidden="false" customHeight="false" outlineLevel="0" collapsed="false">
      <c r="E21" s="144" t="s">
        <v>260</v>
      </c>
      <c r="F21" s="144"/>
      <c r="H21" s="144" t="s">
        <v>261</v>
      </c>
      <c r="I21" s="144"/>
      <c r="J21" s="211"/>
      <c r="K21" s="5" t="s">
        <v>262</v>
      </c>
    </row>
    <row r="22" customFormat="false" ht="12.75" hidden="false" customHeight="false" outlineLevel="0" collapsed="false">
      <c r="E22" s="212"/>
      <c r="H22" s="212"/>
      <c r="J22" s="211"/>
      <c r="K22" s="206"/>
    </row>
    <row r="23" customFormat="false" ht="12.75" hidden="false" customHeight="false" outlineLevel="0" collapsed="false">
      <c r="A23" s="3" t="n">
        <v>2</v>
      </c>
      <c r="B23" s="3" t="str">
        <f aca="false">C4</f>
        <v>Sell PSI (entire Utility)</v>
      </c>
      <c r="C23" s="3" t="s">
        <v>259</v>
      </c>
      <c r="E23" s="212" t="n">
        <f aca="false">+'Sum of Parts-Slide'!M11</f>
        <v>1400</v>
      </c>
      <c r="F23" s="206"/>
      <c r="H23" s="212" t="n">
        <f aca="false">+'Sum of Parts-Slide'!O11</f>
        <v>1550</v>
      </c>
      <c r="I23" s="206"/>
      <c r="J23" s="211" t="n">
        <v>2</v>
      </c>
      <c r="K23" s="3" t="s">
        <v>263</v>
      </c>
    </row>
    <row r="24" customFormat="false" ht="12.75" hidden="false" customHeight="false" outlineLevel="0" collapsed="false">
      <c r="B24" s="3" t="s">
        <v>264</v>
      </c>
      <c r="C24" s="3" t="s">
        <v>265</v>
      </c>
      <c r="E24" s="212" t="n">
        <f aca="false">+'Tax Basis'!$F$9+'Tax Basis'!$J$9</f>
        <v>1061.45521742728</v>
      </c>
      <c r="H24" s="212" t="n">
        <f aca="false">+'Tax Basis'!$F$9+'Tax Basis'!$J$9</f>
        <v>1061.45521742728</v>
      </c>
      <c r="J24" s="211"/>
      <c r="K24" s="3" t="s">
        <v>266</v>
      </c>
    </row>
    <row r="25" customFormat="false" ht="12.75" hidden="false" customHeight="false" outlineLevel="0" collapsed="false">
      <c r="B25" s="3" t="s">
        <v>267</v>
      </c>
      <c r="C25" s="3" t="s">
        <v>268</v>
      </c>
      <c r="E25" s="212" t="n">
        <f aca="false">+E23-E24</f>
        <v>338.544782572719</v>
      </c>
      <c r="H25" s="212" t="n">
        <f aca="false">+H23-H24</f>
        <v>488.544782572719</v>
      </c>
    </row>
    <row r="26" customFormat="false" ht="12.75" hidden="false" customHeight="false" outlineLevel="0" collapsed="false">
      <c r="C26" s="3" t="s">
        <v>269</v>
      </c>
      <c r="D26" s="200" t="n">
        <v>0.385</v>
      </c>
      <c r="E26" s="212" t="n">
        <f aca="false">+E25*$D$38</f>
        <v>130.339741290497</v>
      </c>
      <c r="F26" s="206"/>
      <c r="G26" s="206"/>
      <c r="H26" s="212" t="n">
        <f aca="false">+H25*$D$38</f>
        <v>188.089741290497</v>
      </c>
      <c r="I26" s="206"/>
    </row>
    <row r="27" customFormat="false" ht="12.75" hidden="false" customHeight="false" outlineLevel="0" collapsed="false">
      <c r="C27" s="3" t="s">
        <v>270</v>
      </c>
      <c r="E27" s="212" t="n">
        <f aca="false">+E23-E26</f>
        <v>1269.6602587095</v>
      </c>
      <c r="F27" s="206"/>
      <c r="G27" s="206"/>
      <c r="H27" s="212" t="n">
        <f aca="false">+H23-H26</f>
        <v>1361.9102587095</v>
      </c>
      <c r="I27" s="206"/>
      <c r="J27" s="211"/>
      <c r="K27" s="206"/>
    </row>
    <row r="28" customFormat="false" ht="12.75" hidden="false" customHeight="false" outlineLevel="0" collapsed="false">
      <c r="E28" s="212"/>
      <c r="H28" s="212"/>
      <c r="J28" s="211"/>
      <c r="K28" s="206"/>
    </row>
    <row r="29" customFormat="false" ht="12.75" hidden="false" customHeight="false" outlineLevel="0" collapsed="false">
      <c r="A29" s="3" t="n">
        <v>3</v>
      </c>
      <c r="B29" s="3" t="str">
        <f aca="false">C5</f>
        <v>Sell CG&amp;E Gas (LDC)</v>
      </c>
      <c r="C29" s="3" t="s">
        <v>259</v>
      </c>
      <c r="E29" s="212" t="n">
        <f aca="false">'Sum of Parts-Slide'!M21</f>
        <v>750</v>
      </c>
      <c r="F29" s="206"/>
      <c r="H29" s="212" t="n">
        <f aca="false">'Sum of Parts-Slide'!O21</f>
        <v>900</v>
      </c>
      <c r="I29" s="206"/>
      <c r="J29" s="213" t="n">
        <v>3</v>
      </c>
      <c r="K29" s="206" t="s">
        <v>271</v>
      </c>
    </row>
    <row r="30" customFormat="false" ht="12.75" hidden="false" customHeight="false" outlineLevel="0" collapsed="false">
      <c r="B30" s="3" t="s">
        <v>264</v>
      </c>
      <c r="C30" s="3" t="s">
        <v>265</v>
      </c>
      <c r="E30" s="212" t="n">
        <f aca="false">+'Tax Basis'!$G$9</f>
        <v>159.078386145647</v>
      </c>
      <c r="H30" s="212" t="n">
        <f aca="false">+'Tax Basis'!$G$9</f>
        <v>159.078386145647</v>
      </c>
      <c r="J30" s="211"/>
      <c r="K30" s="3" t="s">
        <v>272</v>
      </c>
    </row>
    <row r="31" customFormat="false" ht="12.75" hidden="false" customHeight="false" outlineLevel="0" collapsed="false">
      <c r="B31" s="3" t="s">
        <v>267</v>
      </c>
      <c r="C31" s="3" t="s">
        <v>268</v>
      </c>
      <c r="E31" s="212" t="n">
        <f aca="false">+E29-E30</f>
        <v>590.921613854353</v>
      </c>
      <c r="H31" s="212" t="n">
        <f aca="false">+H29-H30</f>
        <v>740.921613854353</v>
      </c>
      <c r="J31" s="211"/>
    </row>
    <row r="32" customFormat="false" ht="12.75" hidden="false" customHeight="false" outlineLevel="0" collapsed="false">
      <c r="C32" s="3" t="s">
        <v>269</v>
      </c>
      <c r="D32" s="200" t="n">
        <v>0.385</v>
      </c>
      <c r="E32" s="212" t="n">
        <f aca="false">+$D$32*E31</f>
        <v>227.504821333926</v>
      </c>
      <c r="F32" s="206"/>
      <c r="G32" s="206"/>
      <c r="H32" s="212" t="n">
        <f aca="false">+$D$32*H31</f>
        <v>285.254821333926</v>
      </c>
      <c r="I32" s="206"/>
      <c r="J32" s="211"/>
    </row>
    <row r="33" customFormat="false" ht="12.75" hidden="false" customHeight="false" outlineLevel="0" collapsed="false">
      <c r="C33" s="3" t="s">
        <v>270</v>
      </c>
      <c r="E33" s="212" t="n">
        <f aca="false">+E29-E32</f>
        <v>522.495178666074</v>
      </c>
      <c r="F33" s="206"/>
      <c r="G33" s="206"/>
      <c r="H33" s="212" t="n">
        <f aca="false">+H29-H32</f>
        <v>614.745178666074</v>
      </c>
      <c r="I33" s="206"/>
      <c r="J33" s="211"/>
    </row>
    <row r="34" customFormat="false" ht="12.75" hidden="false" customHeight="false" outlineLevel="0" collapsed="false">
      <c r="E34" s="212"/>
      <c r="H34" s="212"/>
      <c r="I34" s="206"/>
      <c r="J34" s="211"/>
    </row>
    <row r="35" customFormat="false" ht="12.75" hidden="false" customHeight="false" outlineLevel="0" collapsed="false">
      <c r="A35" s="3" t="n">
        <v>4</v>
      </c>
      <c r="B35" s="3" t="str">
        <f aca="false">C6</f>
        <v>Sell  CG&amp;E Electric T&amp;D Assets</v>
      </c>
      <c r="C35" s="3" t="s">
        <v>259</v>
      </c>
      <c r="E35" s="212" t="n">
        <f aca="false">+'Sum of Parts-Slide'!M24</f>
        <v>1600</v>
      </c>
      <c r="F35" s="206"/>
      <c r="H35" s="212" t="n">
        <f aca="false">+'Sum of Parts-Slide'!O24</f>
        <v>1800</v>
      </c>
      <c r="I35" s="206"/>
      <c r="J35" s="211"/>
    </row>
    <row r="36" customFormat="false" ht="12.75" hidden="false" customHeight="false" outlineLevel="0" collapsed="false">
      <c r="B36" s="3" t="s">
        <v>273</v>
      </c>
      <c r="C36" s="3" t="s">
        <v>265</v>
      </c>
      <c r="E36" s="212" t="n">
        <f aca="false">+'Tax Basis'!$F$9+'Tax Basis'!$J$9</f>
        <v>1061.45521742728</v>
      </c>
      <c r="H36" s="212" t="n">
        <f aca="false">+'Tax Basis'!$F$9+'Tax Basis'!$J$9</f>
        <v>1061.45521742728</v>
      </c>
      <c r="J36" s="211"/>
    </row>
    <row r="37" customFormat="false" ht="12.75" hidden="false" customHeight="false" outlineLevel="0" collapsed="false">
      <c r="C37" s="3" t="s">
        <v>268</v>
      </c>
      <c r="E37" s="212" t="n">
        <f aca="false">+E35-E36</f>
        <v>538.544782572719</v>
      </c>
      <c r="H37" s="212" t="n">
        <f aca="false">+H35-H36</f>
        <v>738.544782572719</v>
      </c>
    </row>
    <row r="38" customFormat="false" ht="12.75" hidden="false" customHeight="false" outlineLevel="0" collapsed="false">
      <c r="C38" s="3" t="s">
        <v>269</v>
      </c>
      <c r="D38" s="200" t="n">
        <v>0.385</v>
      </c>
      <c r="E38" s="212" t="n">
        <f aca="false">+E37*$D$38</f>
        <v>207.339741290497</v>
      </c>
      <c r="F38" s="206"/>
      <c r="G38" s="206"/>
      <c r="H38" s="212" t="n">
        <f aca="false">+H37*$D$38</f>
        <v>284.339741290497</v>
      </c>
      <c r="I38" s="206"/>
    </row>
    <row r="39" customFormat="false" ht="12.75" hidden="false" customHeight="false" outlineLevel="0" collapsed="false">
      <c r="C39" s="3" t="s">
        <v>270</v>
      </c>
      <c r="E39" s="212" t="n">
        <f aca="false">+E35-E38</f>
        <v>1392.6602587095</v>
      </c>
      <c r="F39" s="206"/>
      <c r="G39" s="206"/>
      <c r="H39" s="212" t="n">
        <f aca="false">+H35-H38</f>
        <v>1515.6602587095</v>
      </c>
      <c r="I39" s="206"/>
      <c r="J39" s="211"/>
      <c r="K39" s="206"/>
    </row>
    <row r="41" customFormat="false" ht="12.75" hidden="false" customHeight="false" outlineLevel="0" collapsed="false">
      <c r="A41" s="3" t="n">
        <v>5</v>
      </c>
      <c r="B41" s="3" t="str">
        <f aca="false">C7</f>
        <v>Sell CG&amp;E Peaking and Mid-merit Generation Assets</v>
      </c>
      <c r="C41" s="3" t="s">
        <v>259</v>
      </c>
      <c r="E41" s="212" t="n">
        <f aca="false">+'Sum of Parts-Slide'!M36</f>
        <v>300</v>
      </c>
      <c r="F41" s="206"/>
      <c r="G41" s="117"/>
      <c r="H41" s="212" t="n">
        <f aca="false">'Sum of Parts-Slide'!O36</f>
        <v>500</v>
      </c>
      <c r="I41" s="206"/>
      <c r="J41" s="211" t="n">
        <v>4</v>
      </c>
      <c r="K41" s="3" t="s">
        <v>274</v>
      </c>
    </row>
    <row r="42" customFormat="false" ht="12.75" hidden="false" customHeight="false" outlineLevel="0" collapsed="false">
      <c r="B42" s="3" t="s">
        <v>273</v>
      </c>
      <c r="C42" s="3" t="s">
        <v>275</v>
      </c>
      <c r="E42" s="212" t="n">
        <f aca="false">'Tax Basis'!M9</f>
        <v>74.385435841778</v>
      </c>
      <c r="H42" s="212" t="n">
        <f aca="false">'Tax Basis'!M9</f>
        <v>74.385435841778</v>
      </c>
      <c r="J42" s="211"/>
      <c r="K42" s="3" t="s">
        <v>276</v>
      </c>
    </row>
    <row r="43" customFormat="false" ht="12.75" hidden="false" customHeight="false" outlineLevel="0" collapsed="false">
      <c r="C43" s="3" t="s">
        <v>268</v>
      </c>
      <c r="E43" s="212" t="n">
        <f aca="false">+E41-E42</f>
        <v>225.614564158222</v>
      </c>
      <c r="H43" s="212" t="n">
        <f aca="false">+H41-H42</f>
        <v>425.614564158222</v>
      </c>
      <c r="J43" s="211"/>
      <c r="K43" s="206"/>
    </row>
    <row r="44" customFormat="false" ht="12.75" hidden="false" customHeight="false" outlineLevel="0" collapsed="false">
      <c r="C44" s="3" t="s">
        <v>269</v>
      </c>
      <c r="D44" s="200" t="n">
        <v>0.385</v>
      </c>
      <c r="E44" s="212" t="n">
        <f aca="false">+$D$50*E43</f>
        <v>86.8616072009155</v>
      </c>
      <c r="F44" s="206"/>
      <c r="G44" s="206"/>
      <c r="H44" s="212" t="n">
        <f aca="false">+$D$50*H43</f>
        <v>163.861607200916</v>
      </c>
      <c r="I44" s="206"/>
      <c r="J44" s="211"/>
    </row>
    <row r="45" customFormat="false" ht="12.75" hidden="false" customHeight="false" outlineLevel="0" collapsed="false">
      <c r="C45" s="3" t="s">
        <v>270</v>
      </c>
      <c r="E45" s="212" t="n">
        <f aca="false">E41-E44</f>
        <v>213.138392799085</v>
      </c>
      <c r="F45" s="206"/>
      <c r="G45" s="206"/>
      <c r="H45" s="212" t="n">
        <f aca="false">H41-H44</f>
        <v>336.138392799085</v>
      </c>
      <c r="I45" s="206"/>
    </row>
    <row r="47" customFormat="false" ht="12.75" hidden="false" customHeight="false" outlineLevel="0" collapsed="false">
      <c r="A47" s="3" t="n">
        <v>6</v>
      </c>
      <c r="B47" s="3" t="str">
        <f aca="false">C8</f>
        <v>Sell Stock of Cinergy (with baseload generation assets)</v>
      </c>
      <c r="C47" s="3" t="s">
        <v>259</v>
      </c>
      <c r="E47" s="212" t="n">
        <f aca="false">+'Sum of Parts-Slide'!M30</f>
        <v>5600</v>
      </c>
      <c r="F47" s="206"/>
      <c r="G47" s="117"/>
      <c r="H47" s="212" t="n">
        <f aca="false">+'Sum of Parts-Slide'!O30</f>
        <v>7500</v>
      </c>
      <c r="I47" s="206"/>
      <c r="J47" s="211" t="n">
        <v>4</v>
      </c>
      <c r="K47" s="3" t="s">
        <v>274</v>
      </c>
    </row>
    <row r="48" customFormat="false" ht="12.75" hidden="false" customHeight="false" outlineLevel="0" collapsed="false">
      <c r="B48" s="3" t="s">
        <v>277</v>
      </c>
      <c r="C48" s="3" t="s">
        <v>275</v>
      </c>
      <c r="E48" s="212" t="n">
        <f aca="false">G15</f>
        <v>5120.7541875</v>
      </c>
      <c r="H48" s="212" t="n">
        <f aca="false">G15</f>
        <v>5120.7541875</v>
      </c>
      <c r="J48" s="211"/>
      <c r="K48" s="3" t="s">
        <v>276</v>
      </c>
    </row>
    <row r="49" customFormat="false" ht="12.75" hidden="false" customHeight="false" outlineLevel="0" collapsed="false">
      <c r="C49" s="3" t="s">
        <v>268</v>
      </c>
      <c r="E49" s="212" t="n">
        <f aca="false">+E47-E48</f>
        <v>479.245812499999</v>
      </c>
      <c r="H49" s="212" t="n">
        <f aca="false">+H47-H48</f>
        <v>2379.2458125</v>
      </c>
      <c r="J49" s="211"/>
      <c r="K49" s="206"/>
    </row>
    <row r="50" customFormat="false" ht="12.75" hidden="false" customHeight="false" outlineLevel="0" collapsed="false">
      <c r="C50" s="3" t="s">
        <v>269</v>
      </c>
      <c r="D50" s="200" t="n">
        <v>0.385</v>
      </c>
      <c r="E50" s="212" t="n">
        <f aca="false">+$D$50*E49</f>
        <v>184.5096378125</v>
      </c>
      <c r="F50" s="206"/>
      <c r="G50" s="206"/>
      <c r="H50" s="212" t="n">
        <f aca="false">+$D$50*H49</f>
        <v>916.0096378125</v>
      </c>
      <c r="I50" s="206"/>
      <c r="J50" s="211"/>
    </row>
    <row r="51" customFormat="false" ht="12.75" hidden="false" customHeight="false" outlineLevel="0" collapsed="false">
      <c r="C51" s="3" t="s">
        <v>270</v>
      </c>
      <c r="E51" s="212" t="n">
        <f aca="false">E47-E50</f>
        <v>5415.4903621875</v>
      </c>
      <c r="F51" s="206"/>
      <c r="G51" s="206"/>
      <c r="H51" s="212" t="n">
        <f aca="false">H47-H50</f>
        <v>6583.9903621875</v>
      </c>
      <c r="I51" s="206"/>
    </row>
    <row r="52" customFormat="false" ht="12.75" hidden="false" customHeight="false" outlineLevel="0" collapsed="false">
      <c r="E52" s="212"/>
      <c r="F52" s="206"/>
      <c r="G52" s="206"/>
      <c r="H52" s="212"/>
      <c r="I52" s="206"/>
    </row>
    <row r="53" customFormat="false" ht="12.75" hidden="false" customHeight="false" outlineLevel="0" collapsed="false">
      <c r="B53" s="3" t="s">
        <v>278</v>
      </c>
      <c r="E53" s="212"/>
      <c r="F53" s="214" t="n">
        <f aca="false">+E47+E41+E29+E35+E23</f>
        <v>9650</v>
      </c>
      <c r="H53" s="212"/>
      <c r="I53" s="214" t="n">
        <f aca="false">+H47+H41+H29+H35+H23</f>
        <v>12250</v>
      </c>
    </row>
    <row r="54" customFormat="false" ht="12.75" hidden="false" customHeight="false" outlineLevel="0" collapsed="false">
      <c r="E54" s="212"/>
      <c r="F54" s="214"/>
      <c r="H54" s="212"/>
      <c r="I54" s="214"/>
    </row>
    <row r="55" customFormat="false" ht="12.75" hidden="false" customHeight="false" outlineLevel="0" collapsed="false">
      <c r="E55" s="212"/>
      <c r="G55" s="214"/>
      <c r="H55" s="212"/>
      <c r="I55" s="206"/>
      <c r="J55" s="211"/>
    </row>
    <row r="56" customFormat="false" ht="12.75" hidden="false" customHeight="false" outlineLevel="0" collapsed="false">
      <c r="C56" s="3" t="s">
        <v>279</v>
      </c>
      <c r="D56" s="215" t="n">
        <v>0.0025</v>
      </c>
      <c r="E56" s="216" t="n">
        <f aca="false">+D56*G19</f>
        <v>21.67588296875</v>
      </c>
      <c r="H56" s="216" t="n">
        <f aca="false">+D56*G19</f>
        <v>21.67588296875</v>
      </c>
      <c r="I56" s="206"/>
      <c r="J56" s="3" t="n">
        <v>4</v>
      </c>
      <c r="K56" s="3" t="s">
        <v>280</v>
      </c>
    </row>
    <row r="57" customFormat="false" ht="12.75" hidden="false" customHeight="false" outlineLevel="0" collapsed="false">
      <c r="C57" s="3" t="s">
        <v>281</v>
      </c>
      <c r="E57" s="212" t="n">
        <f aca="false">+E26+E32+E38+E44+E50</f>
        <v>836.555548928335</v>
      </c>
      <c r="F57" s="206"/>
      <c r="G57" s="217"/>
      <c r="H57" s="212" t="n">
        <f aca="false">+H26+H32+H38+H44+H50</f>
        <v>1837.55554892833</v>
      </c>
      <c r="I57" s="206"/>
      <c r="J57" s="211"/>
      <c r="K57" s="206"/>
    </row>
    <row r="58" customFormat="false" ht="12.75" hidden="false" customHeight="false" outlineLevel="0" collapsed="false">
      <c r="C58" s="5" t="s">
        <v>282</v>
      </c>
      <c r="D58" s="5"/>
      <c r="E58" s="218" t="n">
        <f aca="false">-(G19-E27-E33-E39-E45-E51)-E56</f>
        <v>121.415380602914</v>
      </c>
      <c r="F58" s="206"/>
      <c r="G58" s="217"/>
      <c r="H58" s="218" t="n">
        <f aca="false">-(G19-H27-H33-H39-H45-H51)-H56</f>
        <v>1720.41538060291</v>
      </c>
      <c r="I58" s="206"/>
      <c r="J58" s="211"/>
      <c r="K58" s="206"/>
    </row>
    <row r="59" customFormat="false" ht="12.75" hidden="false" customHeight="false" outlineLevel="0" collapsed="false">
      <c r="C59" s="5"/>
      <c r="D59" s="5"/>
      <c r="E59" s="122"/>
      <c r="F59" s="219"/>
      <c r="G59" s="214"/>
      <c r="H59" s="122"/>
      <c r="I59" s="206"/>
      <c r="J59" s="211"/>
      <c r="K59" s="206"/>
    </row>
    <row r="60" customFormat="false" ht="12.75" hidden="false" customHeight="false" outlineLevel="0" collapsed="false">
      <c r="C60" s="5"/>
      <c r="D60" s="5"/>
      <c r="E60" s="220"/>
      <c r="F60" s="219"/>
      <c r="G60" s="219"/>
      <c r="H60" s="220"/>
      <c r="I60" s="212"/>
      <c r="J60" s="221"/>
    </row>
    <row r="61" customFormat="false" ht="12.75" hidden="false" customHeight="false" outlineLevel="0" collapsed="false">
      <c r="B61" s="3" t="s">
        <v>283</v>
      </c>
    </row>
    <row r="62" customFormat="false" ht="12.75" hidden="false" customHeight="false" outlineLevel="0" collapsed="false">
      <c r="A62" s="18" t="n">
        <v>1</v>
      </c>
      <c r="B62" s="3" t="s">
        <v>284</v>
      </c>
    </row>
    <row r="63" customFormat="false" ht="12.75" hidden="false" customHeight="false" outlineLevel="0" collapsed="false">
      <c r="A63" s="3" t="n">
        <v>2</v>
      </c>
      <c r="B63" s="3" t="s">
        <v>285</v>
      </c>
      <c r="J63" s="212"/>
    </row>
    <row r="64" customFormat="false" ht="12.75" hidden="false" customHeight="false" outlineLevel="0" collapsed="false">
      <c r="A64" s="3" t="n">
        <v>3</v>
      </c>
      <c r="B64" s="3" t="s">
        <v>286</v>
      </c>
    </row>
    <row r="68" customFormat="false" ht="12.75" hidden="false" customHeight="false" outlineLevel="0" collapsed="false">
      <c r="E68" s="2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100" zoomScalePageLayoutView="70" workbookViewId="0">
      <selection pane="topLeft" activeCell="A22" activeCellId="0" sqref="A22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23" width="2.84"/>
    <col collapsed="false" customWidth="true" hidden="false" outlineLevel="0" max="2" min="2" style="223" width="26.42"/>
    <col collapsed="false" customWidth="true" hidden="false" outlineLevel="0" max="3" min="3" style="223" width="7.28"/>
    <col collapsed="false" customWidth="true" hidden="false" outlineLevel="0" max="4" min="4" style="223" width="19.7"/>
    <col collapsed="false" customWidth="true" hidden="false" outlineLevel="0" max="5" min="5" style="223" width="12.99"/>
    <col collapsed="false" customWidth="true" hidden="false" outlineLevel="0" max="7" min="6" style="223" width="15.28"/>
    <col collapsed="false" customWidth="true" hidden="false" outlineLevel="0" max="8" min="8" style="223" width="21.13"/>
    <col collapsed="false" customWidth="true" hidden="false" outlineLevel="0" max="9" min="9" style="223" width="21.7"/>
    <col collapsed="false" customWidth="true" hidden="false" outlineLevel="0" max="10" min="10" style="223" width="10.13"/>
    <col collapsed="false" customWidth="true" hidden="false" outlineLevel="0" max="11" min="11" style="223" width="11.7"/>
    <col collapsed="false" customWidth="true" hidden="false" outlineLevel="0" max="12" min="12" style="223" width="28.85"/>
    <col collapsed="false" customWidth="true" hidden="false" outlineLevel="0" max="13" min="13" style="223" width="3.28"/>
    <col collapsed="false" customWidth="true" hidden="false" outlineLevel="0" max="19" min="14" style="223" width="15.7"/>
    <col collapsed="false" customWidth="false" hidden="false" outlineLevel="0" max="257" min="20" style="223" width="7.99"/>
  </cols>
  <sheetData>
    <row r="1" customFormat="false" ht="22.5" hidden="false" customHeight="false" outlineLevel="0" collapsed="false">
      <c r="B1" s="224" t="s">
        <v>287</v>
      </c>
    </row>
    <row r="2" customFormat="false" ht="15.75" hidden="false" customHeight="false" outlineLevel="0" collapsed="false">
      <c r="B2" s="225" t="s">
        <v>288</v>
      </c>
    </row>
    <row r="3" customFormat="false" ht="12.75" hidden="false" customHeight="false" outlineLevel="0" collapsed="false">
      <c r="B3" s="226" t="s">
        <v>289</v>
      </c>
    </row>
    <row r="4" customFormat="false" ht="12.75" hidden="false" customHeight="false" outlineLevel="0" collapsed="false">
      <c r="B4" s="226"/>
    </row>
    <row r="5" customFormat="false" ht="12.75" hidden="false" customHeight="false" outlineLevel="0" collapsed="false">
      <c r="E5" s="227" t="s">
        <v>290</v>
      </c>
      <c r="H5" s="227" t="s">
        <v>291</v>
      </c>
      <c r="I5" s="227" t="s">
        <v>292</v>
      </c>
    </row>
    <row r="6" customFormat="false" ht="12.75" hidden="false" customHeight="false" outlineLevel="0" collapsed="false">
      <c r="D6" s="227" t="s">
        <v>293</v>
      </c>
      <c r="E6" s="227" t="s">
        <v>294</v>
      </c>
      <c r="F6" s="227" t="s">
        <v>295</v>
      </c>
      <c r="G6" s="227" t="s">
        <v>296</v>
      </c>
      <c r="H6" s="227" t="s">
        <v>297</v>
      </c>
      <c r="I6" s="227" t="s">
        <v>298</v>
      </c>
      <c r="J6" s="227"/>
      <c r="K6" s="227" t="s">
        <v>299</v>
      </c>
    </row>
    <row r="7" customFormat="false" ht="12.75" hidden="false" customHeight="false" outlineLevel="0" collapsed="false">
      <c r="A7" s="228"/>
      <c r="B7" s="229" t="s">
        <v>300</v>
      </c>
      <c r="C7" s="228"/>
      <c r="D7" s="228" t="s">
        <v>301</v>
      </c>
      <c r="E7" s="228" t="s">
        <v>302</v>
      </c>
      <c r="F7" s="228" t="s">
        <v>303</v>
      </c>
      <c r="G7" s="228" t="s">
        <v>304</v>
      </c>
      <c r="H7" s="228" t="s">
        <v>305</v>
      </c>
      <c r="I7" s="228" t="s">
        <v>306</v>
      </c>
      <c r="J7" s="228" t="s">
        <v>10</v>
      </c>
      <c r="K7" s="228" t="s">
        <v>307</v>
      </c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  <c r="EE7" s="228"/>
      <c r="EF7" s="228"/>
      <c r="EG7" s="228"/>
      <c r="EH7" s="228"/>
      <c r="EI7" s="228"/>
      <c r="EJ7" s="228"/>
      <c r="EK7" s="228"/>
      <c r="EL7" s="228"/>
      <c r="EM7" s="228"/>
      <c r="EN7" s="228"/>
      <c r="EO7" s="228"/>
      <c r="EP7" s="228"/>
      <c r="EQ7" s="228"/>
      <c r="ER7" s="228"/>
      <c r="ES7" s="228"/>
      <c r="ET7" s="228"/>
      <c r="EU7" s="228"/>
      <c r="EV7" s="228"/>
      <c r="EW7" s="228"/>
      <c r="EX7" s="228"/>
      <c r="EY7" s="228"/>
      <c r="EZ7" s="228"/>
      <c r="FA7" s="228"/>
      <c r="FB7" s="228"/>
      <c r="FC7" s="228"/>
      <c r="FD7" s="228"/>
      <c r="FE7" s="228"/>
      <c r="FF7" s="228"/>
      <c r="FG7" s="228"/>
      <c r="FH7" s="228"/>
      <c r="FI7" s="228"/>
      <c r="FJ7" s="228"/>
      <c r="FK7" s="228"/>
      <c r="FL7" s="228"/>
      <c r="FM7" s="228"/>
      <c r="FN7" s="228"/>
      <c r="FO7" s="228"/>
      <c r="FP7" s="228"/>
      <c r="FQ7" s="228"/>
      <c r="FR7" s="228"/>
      <c r="FS7" s="228"/>
      <c r="FT7" s="228"/>
      <c r="FU7" s="228"/>
      <c r="FV7" s="228"/>
      <c r="FW7" s="228"/>
      <c r="FX7" s="228"/>
      <c r="FY7" s="228"/>
      <c r="FZ7" s="228"/>
      <c r="GA7" s="228"/>
      <c r="GB7" s="228"/>
      <c r="GC7" s="228"/>
      <c r="GD7" s="228"/>
      <c r="GE7" s="228"/>
      <c r="GF7" s="228"/>
      <c r="GG7" s="228"/>
      <c r="GH7" s="228"/>
      <c r="GI7" s="228"/>
      <c r="GJ7" s="228"/>
      <c r="GK7" s="228"/>
      <c r="GL7" s="228"/>
      <c r="GM7" s="228"/>
      <c r="GN7" s="228"/>
      <c r="GO7" s="228"/>
      <c r="GP7" s="228"/>
      <c r="GQ7" s="228"/>
      <c r="GR7" s="228"/>
      <c r="GS7" s="228"/>
      <c r="GT7" s="228"/>
      <c r="GU7" s="228"/>
      <c r="GV7" s="228"/>
      <c r="GW7" s="228"/>
      <c r="GX7" s="228"/>
      <c r="GY7" s="228"/>
      <c r="GZ7" s="228"/>
      <c r="HA7" s="228"/>
      <c r="HB7" s="228"/>
      <c r="HC7" s="228"/>
      <c r="HD7" s="228"/>
      <c r="HE7" s="228"/>
      <c r="HF7" s="228"/>
      <c r="HG7" s="228"/>
      <c r="HH7" s="228"/>
      <c r="HI7" s="228"/>
      <c r="HJ7" s="228"/>
      <c r="HK7" s="228"/>
      <c r="HL7" s="228"/>
      <c r="HM7" s="228"/>
      <c r="HN7" s="228"/>
      <c r="HO7" s="228"/>
      <c r="HP7" s="228"/>
      <c r="HQ7" s="228"/>
      <c r="HR7" s="228"/>
      <c r="HS7" s="228"/>
      <c r="HT7" s="228"/>
      <c r="HU7" s="228"/>
      <c r="HV7" s="228"/>
      <c r="HW7" s="228"/>
      <c r="HX7" s="228"/>
      <c r="HY7" s="228"/>
      <c r="HZ7" s="228"/>
      <c r="IA7" s="228"/>
      <c r="IB7" s="228"/>
      <c r="IC7" s="228"/>
      <c r="ID7" s="228"/>
      <c r="IE7" s="228"/>
      <c r="IF7" s="228"/>
      <c r="IG7" s="228"/>
      <c r="IH7" s="228"/>
      <c r="II7" s="228"/>
      <c r="IJ7" s="228"/>
      <c r="IK7" s="228"/>
      <c r="IL7" s="228"/>
      <c r="IM7" s="228"/>
      <c r="IN7" s="228"/>
      <c r="IO7" s="228"/>
      <c r="IP7" s="228"/>
      <c r="IQ7" s="228"/>
      <c r="IR7" s="228"/>
      <c r="IS7" s="228"/>
      <c r="IT7" s="228"/>
      <c r="IU7" s="228"/>
      <c r="IV7" s="228"/>
      <c r="IW7" s="228"/>
    </row>
    <row r="8" customFormat="false" ht="12.75" hidden="false" customHeight="false" outlineLevel="0" collapsed="false">
      <c r="A8" s="228"/>
      <c r="B8" s="230" t="s">
        <v>308</v>
      </c>
      <c r="C8" s="231" t="n">
        <f aca="false">+'Corp I-S&amp;B-S'!C54</f>
        <v>36600</v>
      </c>
      <c r="D8" s="232" t="n">
        <f aca="false">+'Financial Data Slide'!K19</f>
        <v>21.44</v>
      </c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8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  <c r="EC8" s="228"/>
      <c r="ED8" s="228"/>
      <c r="EE8" s="228"/>
      <c r="EF8" s="228"/>
      <c r="EG8" s="228"/>
      <c r="EH8" s="228"/>
      <c r="EI8" s="228"/>
      <c r="EJ8" s="228"/>
      <c r="EK8" s="228"/>
      <c r="EL8" s="228"/>
      <c r="EM8" s="228"/>
      <c r="EN8" s="228"/>
      <c r="EO8" s="228"/>
      <c r="EP8" s="228"/>
      <c r="EQ8" s="228"/>
      <c r="ER8" s="228"/>
      <c r="ES8" s="228"/>
      <c r="ET8" s="228"/>
      <c r="EU8" s="228"/>
      <c r="EV8" s="228"/>
      <c r="EW8" s="228"/>
      <c r="EX8" s="228"/>
      <c r="EY8" s="228"/>
      <c r="EZ8" s="228"/>
      <c r="FA8" s="228"/>
      <c r="FB8" s="228"/>
      <c r="FC8" s="228"/>
      <c r="FD8" s="228"/>
      <c r="FE8" s="228"/>
      <c r="FF8" s="228"/>
      <c r="FG8" s="228"/>
      <c r="FH8" s="228"/>
      <c r="FI8" s="228"/>
      <c r="FJ8" s="228"/>
      <c r="FK8" s="228"/>
      <c r="FL8" s="228"/>
      <c r="FM8" s="228"/>
      <c r="FN8" s="228"/>
      <c r="FO8" s="228"/>
      <c r="FP8" s="228"/>
      <c r="FQ8" s="228"/>
      <c r="FR8" s="228"/>
      <c r="FS8" s="228"/>
      <c r="FT8" s="228"/>
      <c r="FU8" s="228"/>
      <c r="FV8" s="228"/>
      <c r="FW8" s="228"/>
      <c r="FX8" s="228"/>
      <c r="FY8" s="228"/>
      <c r="FZ8" s="228"/>
      <c r="GA8" s="228"/>
      <c r="GB8" s="228"/>
      <c r="GC8" s="228"/>
      <c r="GD8" s="228"/>
      <c r="GE8" s="228"/>
      <c r="GF8" s="228"/>
      <c r="GG8" s="228"/>
      <c r="GH8" s="228"/>
      <c r="GI8" s="228"/>
      <c r="GJ8" s="228"/>
      <c r="GK8" s="228"/>
      <c r="GL8" s="228"/>
      <c r="GM8" s="228"/>
      <c r="GN8" s="228"/>
      <c r="GO8" s="228"/>
      <c r="GP8" s="228"/>
      <c r="GQ8" s="228"/>
      <c r="GR8" s="228"/>
      <c r="GS8" s="228"/>
      <c r="GT8" s="228"/>
      <c r="GU8" s="228"/>
      <c r="GV8" s="228"/>
      <c r="GW8" s="228"/>
      <c r="GX8" s="228"/>
      <c r="GY8" s="228"/>
      <c r="GZ8" s="228"/>
      <c r="HA8" s="228"/>
      <c r="HB8" s="228"/>
      <c r="HC8" s="228"/>
      <c r="HD8" s="228"/>
      <c r="HE8" s="228"/>
      <c r="HF8" s="228"/>
      <c r="HG8" s="228"/>
      <c r="HH8" s="228"/>
      <c r="HI8" s="228"/>
      <c r="HJ8" s="228"/>
      <c r="HK8" s="228"/>
      <c r="HL8" s="228"/>
      <c r="HM8" s="228"/>
      <c r="HN8" s="228"/>
      <c r="HO8" s="228"/>
      <c r="HP8" s="228"/>
      <c r="HQ8" s="228"/>
      <c r="HR8" s="228"/>
      <c r="HS8" s="228"/>
      <c r="HT8" s="228"/>
      <c r="HU8" s="228"/>
      <c r="HV8" s="228"/>
      <c r="HW8" s="228"/>
      <c r="HX8" s="228"/>
      <c r="HY8" s="228"/>
      <c r="HZ8" s="228"/>
      <c r="IA8" s="228"/>
      <c r="IB8" s="228"/>
      <c r="IC8" s="228"/>
      <c r="ID8" s="228"/>
      <c r="IE8" s="228"/>
      <c r="IF8" s="228"/>
      <c r="IG8" s="228"/>
      <c r="IH8" s="228"/>
      <c r="II8" s="228"/>
      <c r="IJ8" s="228"/>
      <c r="IK8" s="228"/>
      <c r="IL8" s="228"/>
      <c r="IM8" s="228"/>
      <c r="IN8" s="228"/>
      <c r="IO8" s="228"/>
      <c r="IP8" s="228"/>
      <c r="IQ8" s="228"/>
      <c r="IR8" s="228"/>
      <c r="IS8" s="228"/>
      <c r="IT8" s="228"/>
      <c r="IU8" s="228"/>
      <c r="IV8" s="228"/>
      <c r="IW8" s="228"/>
    </row>
    <row r="9" customFormat="false" ht="12.75" hidden="false" customHeight="false" outlineLevel="0" collapsed="false">
      <c r="A9" s="228"/>
      <c r="B9" s="230" t="s">
        <v>252</v>
      </c>
      <c r="C9" s="228"/>
      <c r="D9" s="233" t="n">
        <v>0.5</v>
      </c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  <c r="EE9" s="228"/>
      <c r="EF9" s="228"/>
      <c r="EG9" s="228"/>
      <c r="EH9" s="228"/>
      <c r="EI9" s="228"/>
      <c r="EJ9" s="228"/>
      <c r="EK9" s="228"/>
      <c r="EL9" s="228"/>
      <c r="EM9" s="228"/>
      <c r="EN9" s="228"/>
      <c r="EO9" s="228"/>
      <c r="EP9" s="228"/>
      <c r="EQ9" s="228"/>
      <c r="ER9" s="228"/>
      <c r="ES9" s="228"/>
      <c r="ET9" s="228"/>
      <c r="EU9" s="228"/>
      <c r="EV9" s="228"/>
      <c r="EW9" s="228"/>
      <c r="EX9" s="228"/>
      <c r="EY9" s="228"/>
      <c r="EZ9" s="228"/>
      <c r="FA9" s="228"/>
      <c r="FB9" s="228"/>
      <c r="FC9" s="228"/>
      <c r="FD9" s="228"/>
      <c r="FE9" s="228"/>
      <c r="FF9" s="228"/>
      <c r="FG9" s="228"/>
      <c r="FH9" s="228"/>
      <c r="FI9" s="228"/>
      <c r="FJ9" s="228"/>
      <c r="FK9" s="228"/>
      <c r="FL9" s="228"/>
      <c r="FM9" s="228"/>
      <c r="FN9" s="228"/>
      <c r="FO9" s="228"/>
      <c r="FP9" s="228"/>
      <c r="FQ9" s="228"/>
      <c r="FR9" s="228"/>
      <c r="FS9" s="228"/>
      <c r="FT9" s="228"/>
      <c r="FU9" s="228"/>
      <c r="FV9" s="228"/>
      <c r="FW9" s="228"/>
      <c r="FX9" s="228"/>
      <c r="FY9" s="228"/>
      <c r="FZ9" s="228"/>
      <c r="GA9" s="228"/>
      <c r="GB9" s="228"/>
      <c r="GC9" s="228"/>
      <c r="GD9" s="228"/>
      <c r="GE9" s="228"/>
      <c r="GF9" s="228"/>
      <c r="GG9" s="228"/>
      <c r="GH9" s="228"/>
      <c r="GI9" s="228"/>
      <c r="GJ9" s="228"/>
      <c r="GK9" s="228"/>
      <c r="GL9" s="228"/>
      <c r="GM9" s="228"/>
      <c r="GN9" s="228"/>
      <c r="GO9" s="228"/>
      <c r="GP9" s="228"/>
      <c r="GQ9" s="228"/>
      <c r="GR9" s="228"/>
      <c r="GS9" s="228"/>
      <c r="GT9" s="228"/>
      <c r="GU9" s="228"/>
      <c r="GV9" s="228"/>
      <c r="GW9" s="228"/>
      <c r="GX9" s="228"/>
      <c r="GY9" s="228"/>
      <c r="GZ9" s="228"/>
      <c r="HA9" s="228"/>
      <c r="HB9" s="228"/>
      <c r="HC9" s="228"/>
      <c r="HD9" s="228"/>
      <c r="HE9" s="228"/>
      <c r="HF9" s="228"/>
      <c r="HG9" s="228"/>
      <c r="HH9" s="228"/>
      <c r="HI9" s="228"/>
      <c r="HJ9" s="228"/>
      <c r="HK9" s="228"/>
      <c r="HL9" s="228"/>
      <c r="HM9" s="228"/>
      <c r="HN9" s="228"/>
      <c r="HO9" s="228"/>
      <c r="HP9" s="228"/>
      <c r="HQ9" s="228"/>
      <c r="HR9" s="228"/>
      <c r="HS9" s="228"/>
      <c r="HT9" s="228"/>
      <c r="HU9" s="228"/>
      <c r="HV9" s="228"/>
      <c r="HW9" s="228"/>
      <c r="HX9" s="228"/>
      <c r="HY9" s="228"/>
      <c r="HZ9" s="228"/>
      <c r="IA9" s="228"/>
      <c r="IB9" s="228"/>
      <c r="IC9" s="228"/>
      <c r="ID9" s="228"/>
      <c r="IE9" s="228"/>
      <c r="IF9" s="228"/>
      <c r="IG9" s="228"/>
      <c r="IH9" s="228"/>
      <c r="II9" s="228"/>
      <c r="IJ9" s="228"/>
      <c r="IK9" s="228"/>
      <c r="IL9" s="228"/>
      <c r="IM9" s="228"/>
      <c r="IN9" s="228"/>
      <c r="IO9" s="228"/>
      <c r="IP9" s="228"/>
      <c r="IQ9" s="228"/>
      <c r="IR9" s="228"/>
      <c r="IS9" s="228"/>
      <c r="IT9" s="228"/>
      <c r="IU9" s="228"/>
      <c r="IV9" s="228"/>
      <c r="IW9" s="228"/>
    </row>
    <row r="10" customFormat="false" ht="12.75" hidden="false" customHeight="false" outlineLevel="0" collapsed="false">
      <c r="A10" s="228"/>
      <c r="B10" s="230" t="s">
        <v>309</v>
      </c>
      <c r="C10" s="228"/>
      <c r="D10" s="234" t="n">
        <f aca="false">D8*(1+D9)</f>
        <v>32.16</v>
      </c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  <c r="EE10" s="228"/>
      <c r="EF10" s="228"/>
      <c r="EG10" s="228"/>
      <c r="EH10" s="228"/>
      <c r="EI10" s="228"/>
      <c r="EJ10" s="228"/>
      <c r="EK10" s="228"/>
      <c r="EL10" s="228"/>
      <c r="EM10" s="228"/>
      <c r="EN10" s="228"/>
      <c r="EO10" s="228"/>
      <c r="EP10" s="228"/>
      <c r="EQ10" s="228"/>
      <c r="ER10" s="228"/>
      <c r="ES10" s="228"/>
      <c r="ET10" s="228"/>
      <c r="EU10" s="228"/>
      <c r="EV10" s="228"/>
      <c r="EW10" s="228"/>
      <c r="EX10" s="228"/>
      <c r="EY10" s="228"/>
      <c r="EZ10" s="228"/>
      <c r="FA10" s="228"/>
      <c r="FB10" s="228"/>
      <c r="FC10" s="228"/>
      <c r="FD10" s="228"/>
      <c r="FE10" s="228"/>
      <c r="FF10" s="228"/>
      <c r="FG10" s="228"/>
      <c r="FH10" s="228"/>
      <c r="FI10" s="228"/>
      <c r="FJ10" s="228"/>
      <c r="FK10" s="228"/>
      <c r="FL10" s="228"/>
      <c r="FM10" s="228"/>
      <c r="FN10" s="228"/>
      <c r="FO10" s="228"/>
      <c r="FP10" s="228"/>
      <c r="FQ10" s="228"/>
      <c r="FR10" s="228"/>
      <c r="FS10" s="228"/>
      <c r="FT10" s="228"/>
      <c r="FU10" s="228"/>
      <c r="FV10" s="228"/>
      <c r="FW10" s="228"/>
      <c r="FX10" s="228"/>
      <c r="FY10" s="228"/>
      <c r="FZ10" s="228"/>
      <c r="GA10" s="228"/>
      <c r="GB10" s="228"/>
      <c r="GC10" s="228"/>
      <c r="GD10" s="228"/>
      <c r="GE10" s="228"/>
      <c r="GF10" s="228"/>
      <c r="GG10" s="228"/>
      <c r="GH10" s="228"/>
      <c r="GI10" s="228"/>
      <c r="GJ10" s="228"/>
      <c r="GK10" s="228"/>
      <c r="GL10" s="228"/>
      <c r="GM10" s="228"/>
      <c r="GN10" s="228"/>
      <c r="GO10" s="228"/>
      <c r="GP10" s="228"/>
      <c r="GQ10" s="228"/>
      <c r="GR10" s="228"/>
      <c r="GS10" s="228"/>
      <c r="GT10" s="228"/>
      <c r="GU10" s="228"/>
      <c r="GV10" s="228"/>
      <c r="GW10" s="228"/>
      <c r="GX10" s="228"/>
      <c r="GY10" s="228"/>
      <c r="GZ10" s="228"/>
      <c r="HA10" s="228"/>
      <c r="HB10" s="228"/>
      <c r="HC10" s="228"/>
      <c r="HD10" s="228"/>
      <c r="HE10" s="228"/>
      <c r="HF10" s="228"/>
      <c r="HG10" s="228"/>
      <c r="HH10" s="228"/>
      <c r="HI10" s="228"/>
      <c r="HJ10" s="228"/>
      <c r="HK10" s="228"/>
      <c r="HL10" s="228"/>
      <c r="HM10" s="228"/>
      <c r="HN10" s="228"/>
      <c r="HO10" s="228"/>
      <c r="HP10" s="228"/>
      <c r="HQ10" s="228"/>
      <c r="HR10" s="228"/>
      <c r="HS10" s="228"/>
      <c r="HT10" s="228"/>
      <c r="HU10" s="228"/>
      <c r="HV10" s="228"/>
      <c r="HW10" s="228"/>
      <c r="HX10" s="228"/>
      <c r="HY10" s="228"/>
      <c r="HZ10" s="228"/>
      <c r="IA10" s="228"/>
      <c r="IB10" s="228"/>
      <c r="IC10" s="228"/>
      <c r="ID10" s="228"/>
      <c r="IE10" s="228"/>
      <c r="IF10" s="228"/>
      <c r="IG10" s="228"/>
      <c r="IH10" s="228"/>
      <c r="II10" s="228"/>
      <c r="IJ10" s="228"/>
      <c r="IK10" s="228"/>
      <c r="IL10" s="228"/>
      <c r="IM10" s="228"/>
      <c r="IN10" s="228"/>
      <c r="IO10" s="228"/>
      <c r="IP10" s="228"/>
      <c r="IQ10" s="228"/>
      <c r="IR10" s="228"/>
      <c r="IS10" s="228"/>
      <c r="IT10" s="228"/>
      <c r="IU10" s="228"/>
      <c r="IV10" s="228"/>
      <c r="IW10" s="228"/>
    </row>
    <row r="11" customFormat="false" ht="12.75" hidden="false" customHeight="false" outlineLevel="0" collapsed="false">
      <c r="A11" s="228"/>
      <c r="B11" s="230" t="s">
        <v>310</v>
      </c>
      <c r="C11" s="228"/>
      <c r="D11" s="235" t="n">
        <f aca="false">+'Financial Data Slide'!E26</f>
        <v>159.246</v>
      </c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  <c r="EE11" s="228"/>
      <c r="EF11" s="228"/>
      <c r="EG11" s="228"/>
      <c r="EH11" s="228"/>
      <c r="EI11" s="228"/>
      <c r="EJ11" s="228"/>
      <c r="EK11" s="228"/>
      <c r="EL11" s="228"/>
      <c r="EM11" s="228"/>
      <c r="EN11" s="228"/>
      <c r="EO11" s="228"/>
      <c r="EP11" s="228"/>
      <c r="EQ11" s="228"/>
      <c r="ER11" s="228"/>
      <c r="ES11" s="228"/>
      <c r="ET11" s="228"/>
      <c r="EU11" s="228"/>
      <c r="EV11" s="228"/>
      <c r="EW11" s="228"/>
      <c r="EX11" s="228"/>
      <c r="EY11" s="228"/>
      <c r="EZ11" s="228"/>
      <c r="FA11" s="228"/>
      <c r="FB11" s="228"/>
      <c r="FC11" s="228"/>
      <c r="FD11" s="228"/>
      <c r="FE11" s="228"/>
      <c r="FF11" s="228"/>
      <c r="FG11" s="228"/>
      <c r="FH11" s="228"/>
      <c r="FI11" s="228"/>
      <c r="FJ11" s="228"/>
      <c r="FK11" s="228"/>
      <c r="FL11" s="228"/>
      <c r="FM11" s="228"/>
      <c r="FN11" s="228"/>
      <c r="FO11" s="228"/>
      <c r="FP11" s="228"/>
      <c r="FQ11" s="228"/>
      <c r="FR11" s="228"/>
      <c r="FS11" s="228"/>
      <c r="FT11" s="228"/>
      <c r="FU11" s="228"/>
      <c r="FV11" s="228"/>
      <c r="FW11" s="228"/>
      <c r="FX11" s="228"/>
      <c r="FY11" s="228"/>
      <c r="FZ11" s="228"/>
      <c r="GA11" s="228"/>
      <c r="GB11" s="228"/>
      <c r="GC11" s="228"/>
      <c r="GD11" s="228"/>
      <c r="GE11" s="228"/>
      <c r="GF11" s="228"/>
      <c r="GG11" s="228"/>
      <c r="GH11" s="228"/>
      <c r="GI11" s="228"/>
      <c r="GJ11" s="228"/>
      <c r="GK11" s="228"/>
      <c r="GL11" s="228"/>
      <c r="GM11" s="228"/>
      <c r="GN11" s="228"/>
      <c r="GO11" s="228"/>
      <c r="GP11" s="228"/>
      <c r="GQ11" s="228"/>
      <c r="GR11" s="228"/>
      <c r="GS11" s="228"/>
      <c r="GT11" s="228"/>
      <c r="GU11" s="228"/>
      <c r="GV11" s="228"/>
      <c r="GW11" s="228"/>
      <c r="GX11" s="228"/>
      <c r="GY11" s="228"/>
      <c r="GZ11" s="228"/>
      <c r="HA11" s="228"/>
      <c r="HB11" s="228"/>
      <c r="HC11" s="228"/>
      <c r="HD11" s="228"/>
      <c r="HE11" s="228"/>
      <c r="HF11" s="228"/>
      <c r="HG11" s="228"/>
      <c r="HH11" s="228"/>
      <c r="HI11" s="228"/>
      <c r="HJ11" s="228"/>
      <c r="HK11" s="228"/>
      <c r="HL11" s="228"/>
      <c r="HM11" s="228"/>
      <c r="HN11" s="228"/>
      <c r="HO11" s="228"/>
      <c r="HP11" s="228"/>
      <c r="HQ11" s="228"/>
      <c r="HR11" s="228"/>
      <c r="HS11" s="228"/>
      <c r="HT11" s="228"/>
      <c r="HU11" s="228"/>
      <c r="HV11" s="228"/>
      <c r="HW11" s="228"/>
      <c r="HX11" s="228"/>
      <c r="HY11" s="228"/>
      <c r="HZ11" s="228"/>
      <c r="IA11" s="228"/>
      <c r="IB11" s="228"/>
      <c r="IC11" s="228"/>
      <c r="ID11" s="228"/>
      <c r="IE11" s="228"/>
      <c r="IF11" s="228"/>
      <c r="IG11" s="228"/>
      <c r="IH11" s="228"/>
      <c r="II11" s="228"/>
      <c r="IJ11" s="228"/>
      <c r="IK11" s="228"/>
      <c r="IL11" s="228"/>
      <c r="IM11" s="228"/>
      <c r="IN11" s="228"/>
      <c r="IO11" s="228"/>
      <c r="IP11" s="228"/>
      <c r="IQ11" s="228"/>
      <c r="IR11" s="228"/>
      <c r="IS11" s="228"/>
      <c r="IT11" s="228"/>
      <c r="IU11" s="228"/>
      <c r="IV11" s="228"/>
      <c r="IW11" s="228"/>
    </row>
    <row r="12" customFormat="false" ht="12.75" hidden="false" customHeight="false" outlineLevel="0" collapsed="false">
      <c r="B12" s="236" t="s">
        <v>311</v>
      </c>
      <c r="D12" s="237" t="n">
        <f aca="false">-D11*D10</f>
        <v>-5121.35136</v>
      </c>
      <c r="E12" s="238" t="s">
        <v>218</v>
      </c>
      <c r="F12" s="238" t="s">
        <v>218</v>
      </c>
      <c r="G12" s="238" t="s">
        <v>218</v>
      </c>
      <c r="H12" s="238" t="s">
        <v>218</v>
      </c>
      <c r="I12" s="239" t="n">
        <f aca="false">+I14+I13</f>
        <v>7500</v>
      </c>
      <c r="J12" s="240" t="n">
        <f aca="false">J14-J13</f>
        <v>8700.401</v>
      </c>
      <c r="K12" s="237" t="n">
        <f aca="false">+J12+D12</f>
        <v>3579.04964</v>
      </c>
    </row>
    <row r="13" customFormat="false" ht="18" hidden="false" customHeight="false" outlineLevel="0" collapsed="false">
      <c r="B13" s="236" t="s">
        <v>312</v>
      </c>
      <c r="D13" s="241" t="n">
        <f aca="false">-'Corp I-S&amp;B-S'!C71</f>
        <v>-3549.599</v>
      </c>
      <c r="E13" s="242" t="s">
        <v>218</v>
      </c>
      <c r="F13" s="242" t="s">
        <v>218</v>
      </c>
      <c r="G13" s="242" t="s">
        <v>218</v>
      </c>
      <c r="H13" s="242" t="s">
        <v>218</v>
      </c>
      <c r="I13" s="242" t="n">
        <f aca="false">IF((D13+E20+F20+G20+H20)&gt;0,0,D13+E20+F20+G20+H20)</f>
        <v>0</v>
      </c>
      <c r="J13" s="242" t="n">
        <f aca="false">-D13</f>
        <v>3549.599</v>
      </c>
      <c r="K13" s="242" t="n">
        <v>0</v>
      </c>
      <c r="O13" s="240"/>
    </row>
    <row r="14" customFormat="false" ht="12.75" hidden="false" customHeight="false" outlineLevel="0" collapsed="false">
      <c r="B14" s="223" t="s">
        <v>259</v>
      </c>
      <c r="D14" s="237" t="n">
        <f aca="false">+D13+D12</f>
        <v>-8670.95036</v>
      </c>
      <c r="E14" s="237" t="n">
        <f aca="false">'Full BreakUp'!H23</f>
        <v>1550</v>
      </c>
      <c r="F14" s="237" t="n">
        <f aca="false">'Full BreakUp'!H29</f>
        <v>900</v>
      </c>
      <c r="G14" s="237" t="n">
        <f aca="false">'Full BreakUp'!H35</f>
        <v>1800</v>
      </c>
      <c r="H14" s="237" t="n">
        <f aca="false">'Full BreakUp'!H41</f>
        <v>500</v>
      </c>
      <c r="I14" s="237" t="n">
        <f aca="false">'Full BreakUp'!H47</f>
        <v>7500</v>
      </c>
      <c r="J14" s="237" t="n">
        <f aca="false">+SUM(E14:I14)</f>
        <v>12250</v>
      </c>
      <c r="K14" s="237" t="n">
        <f aca="false">+J14+D14</f>
        <v>3579.04964</v>
      </c>
      <c r="O14" s="237"/>
    </row>
    <row r="15" customFormat="false" ht="12.75" hidden="false" customHeight="false" outlineLevel="0" collapsed="false">
      <c r="D15" s="243"/>
      <c r="E15" s="243"/>
      <c r="F15" s="243"/>
      <c r="G15" s="243"/>
      <c r="H15" s="243"/>
      <c r="I15" s="243"/>
      <c r="J15" s="243"/>
      <c r="K15" s="237"/>
      <c r="O15" s="237"/>
    </row>
    <row r="16" customFormat="false" ht="18" hidden="false" customHeight="false" outlineLevel="0" collapsed="false">
      <c r="B16" s="244" t="s">
        <v>313</v>
      </c>
      <c r="D16" s="242" t="s">
        <v>218</v>
      </c>
      <c r="E16" s="241" t="n">
        <f aca="false">-'Tax Basis'!H9</f>
        <v>-1223.59210204082</v>
      </c>
      <c r="F16" s="241" t="n">
        <f aca="false">-'Tax Basis'!G9</f>
        <v>-159.078386145647</v>
      </c>
      <c r="G16" s="241" t="n">
        <f aca="false">-'Tax Basis'!F9</f>
        <v>-442.678773731373</v>
      </c>
      <c r="H16" s="241" t="n">
        <f aca="false">-'Tax Basis'!M9</f>
        <v>-74.385435841778</v>
      </c>
      <c r="I16" s="241" t="n">
        <f aca="false">+D12</f>
        <v>-5121.35136</v>
      </c>
      <c r="J16" s="242"/>
      <c r="K16" s="242" t="n">
        <v>0</v>
      </c>
    </row>
    <row r="17" customFormat="false" ht="15.75" hidden="false" customHeight="false" outlineLevel="0" collapsed="false">
      <c r="B17" s="244" t="s">
        <v>314</v>
      </c>
      <c r="D17" s="245" t="s">
        <v>218</v>
      </c>
      <c r="E17" s="243" t="n">
        <f aca="false">'Full BreakUp'!H25</f>
        <v>488.544782572719</v>
      </c>
      <c r="F17" s="243" t="n">
        <f aca="false">'Full BreakUp'!H31</f>
        <v>740.921613854353</v>
      </c>
      <c r="G17" s="243" t="n">
        <f aca="false">'Full BreakUp'!H37</f>
        <v>738.544782572719</v>
      </c>
      <c r="H17" s="243" t="n">
        <f aca="false">'Full BreakUp'!H43</f>
        <v>425.614564158222</v>
      </c>
      <c r="I17" s="243" t="n">
        <f aca="false">'Full BreakUp'!H49</f>
        <v>2379.2458125</v>
      </c>
      <c r="J17" s="246"/>
      <c r="K17" s="246" t="n">
        <v>0</v>
      </c>
    </row>
    <row r="18" customFormat="false" ht="12.75" hidden="false" customHeight="false" outlineLevel="0" collapsed="false">
      <c r="B18" s="244"/>
      <c r="D18" s="245"/>
      <c r="E18" s="243"/>
      <c r="F18" s="243"/>
      <c r="G18" s="243"/>
      <c r="H18" s="243"/>
      <c r="I18" s="243"/>
      <c r="J18" s="246"/>
      <c r="K18" s="246"/>
    </row>
    <row r="19" customFormat="false" ht="12.75" hidden="false" customHeight="false" outlineLevel="0" collapsed="false">
      <c r="B19" s="244" t="s">
        <v>315</v>
      </c>
      <c r="C19" s="247" t="n">
        <v>0.385</v>
      </c>
      <c r="D19" s="243" t="n">
        <v>0</v>
      </c>
      <c r="E19" s="243" t="n">
        <f aca="false">-C19*E17</f>
        <v>-188.089741290497</v>
      </c>
      <c r="F19" s="243" t="n">
        <f aca="false">-C19*F17</f>
        <v>-285.254821333926</v>
      </c>
      <c r="G19" s="243" t="n">
        <f aca="false">-$C$19*G17</f>
        <v>-284.339741290497</v>
      </c>
      <c r="H19" s="243" t="n">
        <f aca="false">-$C$19*H17</f>
        <v>-163.861607200916</v>
      </c>
      <c r="I19" s="243" t="n">
        <f aca="false">-$C$19*I17</f>
        <v>-916.0096378125</v>
      </c>
      <c r="J19" s="246"/>
      <c r="K19" s="248" t="n">
        <f aca="false">SUM(E19:I19)</f>
        <v>-1837.55554892833</v>
      </c>
    </row>
    <row r="20" customFormat="false" ht="14.45" hidden="false" customHeight="true" outlineLevel="0" collapsed="false">
      <c r="B20" s="244" t="s">
        <v>316</v>
      </c>
      <c r="D20" s="249" t="n">
        <f aca="false">+D14</f>
        <v>-8670.95036</v>
      </c>
      <c r="E20" s="249" t="n">
        <f aca="false">+E14+E19</f>
        <v>1361.9102587095</v>
      </c>
      <c r="F20" s="249" t="n">
        <f aca="false">+F14+F19</f>
        <v>614.745178666074</v>
      </c>
      <c r="G20" s="249" t="n">
        <f aca="false">+G14+G19</f>
        <v>1515.6602587095</v>
      </c>
      <c r="H20" s="249" t="n">
        <f aca="false">+H14+H19</f>
        <v>336.138392799085</v>
      </c>
      <c r="I20" s="249" t="n">
        <f aca="false">+I14+I19</f>
        <v>6583.9903621875</v>
      </c>
      <c r="J20" s="246"/>
      <c r="K20" s="249" t="n">
        <f aca="false">+K14+K19</f>
        <v>1741.49409107166</v>
      </c>
    </row>
    <row r="21" customFormat="false" ht="13.5" hidden="false" customHeight="false" outlineLevel="0" collapsed="false">
      <c r="B21" s="244"/>
      <c r="D21" s="243"/>
      <c r="E21" s="243"/>
      <c r="F21" s="243"/>
      <c r="G21" s="243"/>
      <c r="H21" s="243"/>
      <c r="I21" s="243"/>
      <c r="J21" s="246"/>
      <c r="K21" s="250"/>
    </row>
    <row r="22" customFormat="false" ht="15.75" hidden="false" customHeight="false" outlineLevel="0" collapsed="false">
      <c r="B22" s="229" t="s">
        <v>317</v>
      </c>
      <c r="D22" s="243"/>
      <c r="E22" s="243"/>
      <c r="F22" s="243"/>
      <c r="G22" s="243"/>
      <c r="H22" s="243"/>
      <c r="I22" s="243"/>
      <c r="J22" s="243"/>
      <c r="K22" s="250"/>
    </row>
    <row r="23" customFormat="false" ht="12.75" hidden="false" customHeight="false" outlineLevel="0" collapsed="false">
      <c r="B23" s="251" t="s">
        <v>318</v>
      </c>
      <c r="D23" s="243" t="n">
        <f aca="false">+'Corp I-S&amp;B-S'!J28</f>
        <v>414.37212</v>
      </c>
      <c r="E23" s="243" t="n">
        <f aca="false">+$D23*(E$26/$D$26)</f>
        <v>171.892385125411</v>
      </c>
      <c r="F23" s="243" t="n">
        <f aca="false">+$D23*(F$26/$D$26)</f>
        <v>25.3341675238227</v>
      </c>
      <c r="G23" s="245" t="s">
        <v>218</v>
      </c>
      <c r="H23" s="243" t="n">
        <f aca="false">+$D23*(H$26/$D$26)</f>
        <v>242.479734874589</v>
      </c>
      <c r="I23" s="243" t="n">
        <f aca="false">+$D23*(I$26/$D$26)</f>
        <v>146.646372050387</v>
      </c>
      <c r="J23" s="243" t="n">
        <f aca="false">+D23</f>
        <v>414.37212</v>
      </c>
      <c r="K23" s="250"/>
    </row>
    <row r="24" customFormat="false" ht="12.75" hidden="false" customHeight="false" outlineLevel="0" collapsed="false">
      <c r="B24" s="251" t="s">
        <v>319</v>
      </c>
      <c r="D24" s="243" t="n">
        <f aca="false">+'Corp I-S&amp;B-S'!J44</f>
        <v>1226.863</v>
      </c>
      <c r="E24" s="243" t="n">
        <f aca="false">+$D24*(E$26/$D$26)</f>
        <v>508.934836861413</v>
      </c>
      <c r="F24" s="243" t="n">
        <f aca="false">+$D24*(F$26/$D$26)</f>
        <v>75.0087934747631</v>
      </c>
      <c r="G24" s="243" t="n">
        <f aca="false">+'Sum of Parts-Slide'!D21</f>
        <v>101.728764863858</v>
      </c>
      <c r="H24" s="243" t="n">
        <f aca="false">+$D24*(H$26/$D$26)</f>
        <v>717.928163138588</v>
      </c>
      <c r="I24" s="243" t="n">
        <f aca="false">+$D24*(I$26/$D$26)</f>
        <v>434.187048956997</v>
      </c>
      <c r="J24" s="243" t="n">
        <f aca="false">+D24</f>
        <v>1226.863</v>
      </c>
      <c r="K24" s="250"/>
    </row>
    <row r="25" customFormat="false" ht="12.75" hidden="false" customHeight="false" outlineLevel="0" collapsed="false">
      <c r="B25" s="223" t="s">
        <v>320</v>
      </c>
      <c r="D25" s="243" t="n">
        <f aca="false">+'Corp I-S&amp;B-S'!N56</f>
        <v>2638.367</v>
      </c>
      <c r="E25" s="243" t="n">
        <f aca="false">+$D25*(E$26/$D$26)</f>
        <v>1094.46358617509</v>
      </c>
      <c r="F25" s="243" t="n">
        <f aca="false">+$D25*(F$26/$D$26)</f>
        <v>161.306295335038</v>
      </c>
      <c r="G25" s="243" t="n">
        <f aca="false">+$D25*(G26/$D$26)</f>
        <v>448.878535571055</v>
      </c>
      <c r="H25" s="243" t="n">
        <f aca="false">+$D25*(H$26/$D$26)</f>
        <v>1543.90341382491</v>
      </c>
      <c r="I25" s="243" t="n">
        <f aca="false">+$D25*(I$26/$D$26)</f>
        <v>933.718582918813</v>
      </c>
      <c r="J25" s="243" t="n">
        <f aca="false">+D25</f>
        <v>2638.367</v>
      </c>
    </row>
    <row r="26" customFormat="false" ht="15.75" hidden="false" customHeight="false" outlineLevel="0" collapsed="false">
      <c r="B26" s="251" t="s">
        <v>321</v>
      </c>
      <c r="D26" s="243" t="n">
        <f aca="false">+'Corp I-S&amp;B-S'!N20</f>
        <v>6168.418</v>
      </c>
      <c r="E26" s="243" t="n">
        <f aca="false">+'Tax Basis'!H7</f>
        <v>2558.821</v>
      </c>
      <c r="F26" s="243" t="n">
        <f aca="false">+'Tax Basis'!G7</f>
        <v>377.128980031194</v>
      </c>
      <c r="G26" s="243" t="n">
        <f aca="false">+'Tax Basis'!F7</f>
        <v>1049.463717</v>
      </c>
      <c r="H26" s="243" t="n">
        <f aca="false">+'Tax Basis'!D7</f>
        <v>3609.597</v>
      </c>
      <c r="I26" s="243" t="n">
        <f aca="false">+'Tax Basis'!E7</f>
        <v>2183.00430296881</v>
      </c>
      <c r="J26" s="243" t="n">
        <f aca="false">+D26</f>
        <v>6168.418</v>
      </c>
    </row>
    <row r="27" customFormat="false" ht="15.75" hidden="false" customHeight="false" outlineLevel="0" collapsed="false">
      <c r="B27" s="251" t="s">
        <v>322</v>
      </c>
      <c r="D27" s="243" t="n">
        <f aca="false">+'Sum of Parts-Slide'!D30+'Sum of Parts-Slide'!D36</f>
        <v>11289.25</v>
      </c>
      <c r="E27" s="243"/>
      <c r="F27" s="243"/>
      <c r="G27" s="243"/>
      <c r="H27" s="243" t="n">
        <f aca="false">'Sum of Parts-Slide'!D36</f>
        <v>1785.84</v>
      </c>
      <c r="I27" s="243" t="n">
        <f aca="false">'Sum of Parts-Slide'!D30</f>
        <v>9503.41</v>
      </c>
      <c r="J27" s="243" t="n">
        <f aca="false">+D27</f>
        <v>11289.25</v>
      </c>
    </row>
    <row r="28" customFormat="false" ht="12.75" hidden="false" customHeight="false" outlineLevel="0" collapsed="false">
      <c r="B28" s="251"/>
      <c r="D28" s="243"/>
      <c r="E28" s="243"/>
      <c r="F28" s="243"/>
      <c r="G28" s="243"/>
      <c r="H28" s="243"/>
      <c r="I28" s="243"/>
      <c r="J28" s="243"/>
    </row>
    <row r="29" customFormat="false" ht="15.75" hidden="false" customHeight="false" outlineLevel="0" collapsed="false">
      <c r="B29" s="252" t="s">
        <v>323</v>
      </c>
      <c r="D29" s="243"/>
      <c r="E29" s="243"/>
      <c r="F29" s="243"/>
      <c r="G29" s="243"/>
      <c r="H29" s="243"/>
      <c r="I29" s="243"/>
      <c r="J29" s="243"/>
    </row>
    <row r="30" customFormat="false" ht="15.75" hidden="false" customHeight="false" outlineLevel="0" collapsed="false">
      <c r="B30" s="236" t="s">
        <v>324</v>
      </c>
      <c r="D30" s="253" t="n">
        <f aca="false">+ABS(D14/D24)</f>
        <v>7.06757833596742</v>
      </c>
      <c r="E30" s="254" t="n">
        <f aca="false">+E14/E24</f>
        <v>3.04557654091594</v>
      </c>
      <c r="F30" s="254" t="n">
        <f aca="false">+F14/F24</f>
        <v>11.998593208979</v>
      </c>
      <c r="G30" s="253" t="n">
        <f aca="false">+G14/G24</f>
        <v>17.6941104358134</v>
      </c>
      <c r="H30" s="254" t="n">
        <f aca="false">+H14/H24</f>
        <v>0.696448510689614</v>
      </c>
      <c r="I30" s="254" t="n">
        <f aca="false">+I14/I24</f>
        <v>17.2736612435044</v>
      </c>
      <c r="J30" s="253" t="n">
        <f aca="false">+ABS(J14/J24)</f>
        <v>9.9848149304364</v>
      </c>
    </row>
    <row r="31" customFormat="false" ht="12.75" hidden="false" customHeight="false" outlineLevel="0" collapsed="false">
      <c r="B31" s="223" t="s">
        <v>325</v>
      </c>
      <c r="D31" s="254" t="n">
        <f aca="false">ABS(D14/D26)</f>
        <v>1.40570083934001</v>
      </c>
      <c r="E31" s="253" t="n">
        <f aca="false">+E14/E26</f>
        <v>0.605747725221889</v>
      </c>
      <c r="F31" s="253" t="n">
        <f aca="false">+F14/F26</f>
        <v>2.38645144673198</v>
      </c>
      <c r="G31" s="254" t="n">
        <f aca="false">+G14/G26</f>
        <v>1.71516172578647</v>
      </c>
      <c r="H31" s="254" t="n">
        <f aca="false">+H14/H26</f>
        <v>0.138519618672112</v>
      </c>
      <c r="I31" s="254" t="n">
        <f aca="false">+I14/I26</f>
        <v>3.43563225679412</v>
      </c>
      <c r="J31" s="254" t="n">
        <f aca="false">ABS(J14/J26)</f>
        <v>1.98592248450089</v>
      </c>
    </row>
    <row r="32" customFormat="false" ht="12.75" hidden="false" customHeight="false" outlineLevel="0" collapsed="false">
      <c r="B32" s="223" t="s">
        <v>326</v>
      </c>
      <c r="D32" s="254" t="n">
        <f aca="false">ABS(D12/D25)</f>
        <v>1.9411065102012</v>
      </c>
      <c r="E32" s="238" t="s">
        <v>218</v>
      </c>
      <c r="F32" s="238" t="s">
        <v>218</v>
      </c>
      <c r="G32" s="238" t="s">
        <v>218</v>
      </c>
      <c r="H32" s="238" t="s">
        <v>218</v>
      </c>
      <c r="I32" s="238" t="s">
        <v>218</v>
      </c>
      <c r="J32" s="254" t="n">
        <f aca="false">ABS(J12/J25)</f>
        <v>3.29764623344667</v>
      </c>
    </row>
    <row r="33" customFormat="false" ht="12.75" hidden="false" customHeight="false" outlineLevel="0" collapsed="false">
      <c r="B33" s="223" t="s">
        <v>327</v>
      </c>
      <c r="D33" s="253" t="n">
        <f aca="false">ABS(D12/D23)</f>
        <v>12.3593048682908</v>
      </c>
      <c r="E33" s="238" t="s">
        <v>218</v>
      </c>
      <c r="F33" s="238" t="s">
        <v>218</v>
      </c>
      <c r="G33" s="238" t="s">
        <v>218</v>
      </c>
      <c r="H33" s="238" t="s">
        <v>218</v>
      </c>
      <c r="I33" s="238" t="s">
        <v>218</v>
      </c>
      <c r="J33" s="253" t="n">
        <f aca="false">ABS(J12/J23)</f>
        <v>20.9965887666381</v>
      </c>
    </row>
    <row r="34" customFormat="false" ht="12.75" hidden="false" customHeight="false" outlineLevel="0" collapsed="false">
      <c r="B34" s="223" t="s">
        <v>328</v>
      </c>
      <c r="D34" s="245" t="s">
        <v>218</v>
      </c>
      <c r="E34" s="245" t="s">
        <v>218</v>
      </c>
      <c r="F34" s="245" t="s">
        <v>218</v>
      </c>
      <c r="G34" s="245" t="s">
        <v>218</v>
      </c>
      <c r="H34" s="255" t="n">
        <f aca="false">H14/H27*1000</f>
        <v>279.980289387627</v>
      </c>
      <c r="I34" s="255" t="n">
        <f aca="false">I14/I27*1000</f>
        <v>789.190406390969</v>
      </c>
      <c r="J34" s="245" t="s">
        <v>218</v>
      </c>
    </row>
    <row r="37" customFormat="false" ht="12.75" hidden="false" customHeight="false" outlineLevel="0" collapsed="false">
      <c r="A37" s="223" t="n">
        <v>1</v>
      </c>
      <c r="B37" s="236" t="s">
        <v>329</v>
      </c>
    </row>
    <row r="38" customFormat="false" ht="12.75" hidden="false" customHeight="false" outlineLevel="0" collapsed="false">
      <c r="A38" s="223" t="n">
        <v>2</v>
      </c>
      <c r="B38" s="236" t="s">
        <v>330</v>
      </c>
    </row>
    <row r="39" customFormat="false" ht="12.75" hidden="false" customHeight="false" outlineLevel="0" collapsed="false">
      <c r="A39" s="223" t="n">
        <v>3</v>
      </c>
      <c r="B39" s="223" t="s">
        <v>331</v>
      </c>
    </row>
    <row r="40" customFormat="false" ht="12.75" hidden="false" customHeight="false" outlineLevel="0" collapsed="false">
      <c r="A40" s="223" t="n">
        <v>4</v>
      </c>
      <c r="B40" s="3" t="s">
        <v>332</v>
      </c>
    </row>
    <row r="41" customFormat="false" ht="12.75" hidden="false" customHeight="false" outlineLevel="0" collapsed="false">
      <c r="A41" s="223" t="n">
        <v>5</v>
      </c>
      <c r="B41" s="223" t="s">
        <v>333</v>
      </c>
    </row>
    <row r="42" customFormat="false" ht="12.75" hidden="false" customHeight="false" outlineLevel="0" collapsed="false">
      <c r="A42" s="223" t="n">
        <v>6</v>
      </c>
      <c r="B42" s="236" t="s">
        <v>334</v>
      </c>
    </row>
    <row r="43" customFormat="false" ht="12.75" hidden="false" customHeight="false" outlineLevel="0" collapsed="false">
      <c r="A43" s="223" t="n">
        <v>7</v>
      </c>
      <c r="B43" s="223" t="s">
        <v>335</v>
      </c>
    </row>
    <row r="44" customFormat="false" ht="12.75" hidden="false" customHeight="false" outlineLevel="0" collapsed="false">
      <c r="A44" s="223" t="n">
        <v>8</v>
      </c>
      <c r="B44" s="223" t="s">
        <v>336</v>
      </c>
    </row>
    <row r="45" customFormat="false" ht="12.75" hidden="false" customHeight="false" outlineLevel="0" collapsed="false">
      <c r="A45" s="223" t="n">
        <v>9</v>
      </c>
      <c r="B45" s="223" t="s">
        <v>337</v>
      </c>
    </row>
    <row r="47" customFormat="false" ht="22.5" hidden="false" customHeight="false" outlineLevel="0" collapsed="false">
      <c r="L47" s="224" t="s">
        <v>338</v>
      </c>
    </row>
    <row r="48" customFormat="false" ht="15.75" hidden="false" customHeight="false" outlineLevel="0" collapsed="false">
      <c r="L48" s="225" t="s">
        <v>288</v>
      </c>
    </row>
    <row r="49" customFormat="false" ht="12.75" hidden="false" customHeight="false" outlineLevel="0" collapsed="false">
      <c r="L49" s="226" t="s">
        <v>289</v>
      </c>
    </row>
    <row r="51" customFormat="false" ht="12.75" hidden="false" customHeight="false" outlineLevel="0" collapsed="false">
      <c r="A51" s="256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 t="s">
        <v>339</v>
      </c>
      <c r="M51" s="257"/>
      <c r="N51" s="258" t="n">
        <v>0.1</v>
      </c>
      <c r="O51" s="258" t="n">
        <v>0.2</v>
      </c>
      <c r="P51" s="258" t="n">
        <v>0.3</v>
      </c>
      <c r="Q51" s="258" t="n">
        <v>0.4</v>
      </c>
      <c r="R51" s="258" t="n">
        <v>0.5</v>
      </c>
      <c r="S51" s="258" t="n">
        <v>0.6</v>
      </c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56"/>
      <c r="AX51" s="256"/>
      <c r="AY51" s="256"/>
      <c r="AZ51" s="256"/>
      <c r="BA51" s="256"/>
      <c r="BB51" s="256"/>
      <c r="BC51" s="256"/>
      <c r="BD51" s="256"/>
      <c r="BE51" s="256"/>
      <c r="BF51" s="256"/>
      <c r="BG51" s="256"/>
      <c r="BH51" s="256"/>
      <c r="BI51" s="256"/>
      <c r="BJ51" s="256"/>
      <c r="BK51" s="256"/>
      <c r="BL51" s="256"/>
      <c r="BM51" s="256"/>
      <c r="BN51" s="256"/>
      <c r="BO51" s="256"/>
      <c r="BP51" s="256"/>
      <c r="BQ51" s="256"/>
      <c r="BR51" s="256"/>
      <c r="BS51" s="256"/>
      <c r="BT51" s="256"/>
      <c r="BU51" s="256"/>
      <c r="BV51" s="256"/>
      <c r="BW51" s="256"/>
      <c r="BX51" s="256"/>
      <c r="BY51" s="256"/>
      <c r="BZ51" s="256"/>
      <c r="CA51" s="256"/>
      <c r="CB51" s="256"/>
      <c r="CC51" s="256"/>
      <c r="CD51" s="256"/>
      <c r="CE51" s="256"/>
      <c r="CF51" s="256"/>
      <c r="CG51" s="256"/>
      <c r="CH51" s="256"/>
      <c r="CI51" s="256"/>
      <c r="CJ51" s="256"/>
      <c r="CK51" s="256"/>
      <c r="CL51" s="256"/>
      <c r="CM51" s="256"/>
      <c r="CN51" s="256"/>
      <c r="CO51" s="256"/>
      <c r="CP51" s="256"/>
      <c r="CQ51" s="256"/>
      <c r="CR51" s="256"/>
      <c r="CS51" s="256"/>
      <c r="CT51" s="256"/>
      <c r="CU51" s="256"/>
      <c r="CV51" s="256"/>
      <c r="CW51" s="256"/>
      <c r="CX51" s="256"/>
      <c r="CY51" s="256"/>
      <c r="CZ51" s="256"/>
      <c r="DA51" s="256"/>
      <c r="DB51" s="256"/>
      <c r="DC51" s="256"/>
      <c r="DD51" s="256"/>
      <c r="DE51" s="256"/>
      <c r="DF51" s="256"/>
      <c r="DG51" s="256"/>
      <c r="DH51" s="256"/>
      <c r="DI51" s="256"/>
      <c r="DJ51" s="256"/>
      <c r="DK51" s="256"/>
      <c r="DL51" s="256"/>
      <c r="DM51" s="256"/>
      <c r="DN51" s="256"/>
      <c r="DO51" s="256"/>
      <c r="DP51" s="256"/>
      <c r="DQ51" s="256"/>
      <c r="DR51" s="256"/>
      <c r="DS51" s="256"/>
      <c r="DT51" s="256"/>
      <c r="DU51" s="256"/>
      <c r="DV51" s="256"/>
      <c r="DW51" s="256"/>
      <c r="DX51" s="256"/>
      <c r="DY51" s="256"/>
      <c r="DZ51" s="256"/>
      <c r="EA51" s="256"/>
      <c r="EB51" s="256"/>
      <c r="EC51" s="256"/>
      <c r="ED51" s="256"/>
      <c r="EE51" s="256"/>
      <c r="EF51" s="256"/>
      <c r="EG51" s="256"/>
      <c r="EH51" s="256"/>
      <c r="EI51" s="256"/>
      <c r="EJ51" s="256"/>
      <c r="EK51" s="256"/>
      <c r="EL51" s="256"/>
      <c r="EM51" s="256"/>
      <c r="EN51" s="256"/>
      <c r="EO51" s="256"/>
      <c r="EP51" s="256"/>
      <c r="EQ51" s="256"/>
      <c r="ER51" s="256"/>
      <c r="ES51" s="256"/>
      <c r="ET51" s="256"/>
      <c r="EU51" s="256"/>
      <c r="EV51" s="256"/>
      <c r="EW51" s="256"/>
      <c r="EX51" s="256"/>
      <c r="EY51" s="256"/>
      <c r="EZ51" s="256"/>
      <c r="FA51" s="256"/>
      <c r="FB51" s="256"/>
      <c r="FC51" s="256"/>
      <c r="FD51" s="256"/>
      <c r="FE51" s="256"/>
      <c r="FF51" s="256"/>
      <c r="FG51" s="256"/>
      <c r="FH51" s="256"/>
      <c r="FI51" s="256"/>
      <c r="FJ51" s="256"/>
      <c r="FK51" s="256"/>
      <c r="FL51" s="256"/>
      <c r="FM51" s="256"/>
      <c r="FN51" s="256"/>
      <c r="FO51" s="256"/>
      <c r="FP51" s="256"/>
      <c r="FQ51" s="256"/>
      <c r="FR51" s="256"/>
      <c r="FS51" s="256"/>
      <c r="FT51" s="256"/>
      <c r="FU51" s="256"/>
      <c r="FV51" s="256"/>
      <c r="FW51" s="256"/>
      <c r="FX51" s="256"/>
      <c r="FY51" s="256"/>
      <c r="FZ51" s="256"/>
      <c r="GA51" s="256"/>
      <c r="GB51" s="256"/>
      <c r="GC51" s="256"/>
      <c r="GD51" s="256"/>
      <c r="GE51" s="256"/>
      <c r="GF51" s="256"/>
      <c r="GG51" s="256"/>
      <c r="GH51" s="256"/>
      <c r="GI51" s="256"/>
      <c r="GJ51" s="256"/>
      <c r="GK51" s="256"/>
      <c r="GL51" s="256"/>
      <c r="GM51" s="256"/>
      <c r="GN51" s="256"/>
      <c r="GO51" s="256"/>
      <c r="GP51" s="256"/>
      <c r="GQ51" s="256"/>
      <c r="GR51" s="256"/>
      <c r="GS51" s="256"/>
      <c r="GT51" s="256"/>
      <c r="GU51" s="256"/>
      <c r="GV51" s="256"/>
      <c r="GW51" s="256"/>
      <c r="GX51" s="256"/>
      <c r="GY51" s="256"/>
      <c r="GZ51" s="256"/>
      <c r="HA51" s="256"/>
      <c r="HB51" s="256"/>
      <c r="HC51" s="256"/>
      <c r="HD51" s="256"/>
      <c r="HE51" s="256"/>
      <c r="HF51" s="256"/>
      <c r="HG51" s="256"/>
      <c r="HH51" s="256"/>
      <c r="HI51" s="256"/>
      <c r="HJ51" s="256"/>
      <c r="HK51" s="256"/>
      <c r="HL51" s="256"/>
      <c r="HM51" s="256"/>
      <c r="HN51" s="256"/>
      <c r="HO51" s="256"/>
      <c r="HP51" s="256"/>
      <c r="HQ51" s="256"/>
      <c r="HR51" s="256"/>
      <c r="HS51" s="256"/>
      <c r="HT51" s="256"/>
      <c r="HU51" s="256"/>
      <c r="HV51" s="256"/>
      <c r="HW51" s="256"/>
      <c r="HX51" s="256"/>
      <c r="HY51" s="256"/>
      <c r="HZ51" s="256"/>
      <c r="IA51" s="256"/>
      <c r="IB51" s="256"/>
      <c r="IC51" s="256"/>
      <c r="ID51" s="256"/>
      <c r="IE51" s="256"/>
      <c r="IF51" s="256"/>
      <c r="IG51" s="256"/>
      <c r="IH51" s="256"/>
      <c r="II51" s="256"/>
      <c r="IJ51" s="256"/>
      <c r="IK51" s="256"/>
      <c r="IL51" s="256"/>
      <c r="IM51" s="256"/>
      <c r="IN51" s="256"/>
      <c r="IO51" s="256"/>
      <c r="IP51" s="256"/>
      <c r="IQ51" s="256"/>
      <c r="IR51" s="256"/>
      <c r="IS51" s="256"/>
      <c r="IT51" s="256"/>
      <c r="IU51" s="256"/>
      <c r="IV51" s="256"/>
      <c r="IW51" s="256"/>
    </row>
    <row r="52" customFormat="false" ht="12.75" hidden="false" customHeight="false" outlineLevel="0" collapsed="false">
      <c r="L52" s="223" t="str">
        <f aca="false">+B12</f>
        <v>Equity Value</v>
      </c>
      <c r="M52" s="257" t="n">
        <f aca="false">-D12</f>
        <v>5121.35136</v>
      </c>
      <c r="N52" s="243" t="n">
        <f aca="false">+$D$8*(1+N51)*$D$11</f>
        <v>3755.657664</v>
      </c>
      <c r="O52" s="243" t="n">
        <f aca="false">+$D$8*(1+O51)*$D$11</f>
        <v>4097.081088</v>
      </c>
      <c r="P52" s="243" t="n">
        <f aca="false">+$D$8*(1+P51)*$D$11</f>
        <v>4438.504512</v>
      </c>
      <c r="Q52" s="243" t="n">
        <f aca="false">+$D$8*(1+Q51)*$D$11</f>
        <v>4779.927936</v>
      </c>
      <c r="R52" s="243" t="n">
        <f aca="false">+$D$8*(1+R51)*$D$11</f>
        <v>5121.35136</v>
      </c>
      <c r="S52" s="243" t="n">
        <f aca="false">+$D$8*(1+S51)*$D$11</f>
        <v>5462.774784</v>
      </c>
    </row>
    <row r="53" customFormat="false" ht="12.75" hidden="false" customHeight="false" outlineLevel="0" collapsed="false">
      <c r="L53" s="223" t="s">
        <v>259</v>
      </c>
      <c r="M53" s="257" t="n">
        <f aca="false">+M52-$D$13</f>
        <v>8670.95036</v>
      </c>
      <c r="N53" s="240" t="n">
        <f aca="false">+N52-$D$13</f>
        <v>7305.256664</v>
      </c>
      <c r="O53" s="237" t="n">
        <f aca="false">+O52-$D$13</f>
        <v>7646.680088</v>
      </c>
      <c r="P53" s="237" t="n">
        <f aca="false">+P52-$D$13</f>
        <v>7988.103512</v>
      </c>
      <c r="Q53" s="237" t="n">
        <f aca="false">+Q52-$D$13</f>
        <v>8329.526936</v>
      </c>
      <c r="R53" s="237" t="n">
        <f aca="false">+R52-$D$13</f>
        <v>8670.95036</v>
      </c>
      <c r="S53" s="237" t="n">
        <f aca="false">+S52-$D$13</f>
        <v>9012.373784</v>
      </c>
    </row>
    <row r="54" customFormat="false" ht="12.75" hidden="false" customHeight="false" outlineLevel="0" collapsed="false">
      <c r="M54" s="257"/>
      <c r="O54" s="259"/>
      <c r="P54" s="259"/>
      <c r="Q54" s="259"/>
      <c r="R54" s="259"/>
      <c r="S54" s="259"/>
    </row>
    <row r="55" customFormat="false" ht="12.75" hidden="false" customHeight="false" outlineLevel="0" collapsed="false">
      <c r="L55" s="256" t="s">
        <v>340</v>
      </c>
      <c r="M55" s="257"/>
    </row>
    <row r="56" customFormat="false" ht="12.75" hidden="false" customHeight="false" outlineLevel="0" collapsed="false">
      <c r="L56" s="236" t="s">
        <v>341</v>
      </c>
      <c r="M56" s="257"/>
      <c r="N56" s="260" t="n">
        <f aca="false">N53/$D$24</f>
        <v>5.95441924974508</v>
      </c>
      <c r="O56" s="260" t="n">
        <f aca="false">O53/$D$24</f>
        <v>6.23270902130067</v>
      </c>
      <c r="P56" s="260" t="n">
        <f aca="false">P53/$D$24</f>
        <v>6.51099879285625</v>
      </c>
      <c r="Q56" s="260" t="n">
        <f aca="false">Q53/$D$24</f>
        <v>6.78928856441184</v>
      </c>
      <c r="R56" s="260" t="n">
        <f aca="false">R53/$D$24</f>
        <v>7.06757833596742</v>
      </c>
      <c r="S56" s="260" t="n">
        <f aca="false">S53/$D$24</f>
        <v>7.34586810752301</v>
      </c>
    </row>
    <row r="57" customFormat="false" ht="12.75" hidden="false" customHeight="false" outlineLevel="0" collapsed="false">
      <c r="L57" s="223" t="s">
        <v>325</v>
      </c>
      <c r="M57" s="257"/>
      <c r="N57" s="260" t="n">
        <f aca="false">+N53/$D$26</f>
        <v>1.18429987461939</v>
      </c>
      <c r="O57" s="260" t="n">
        <f aca="false">+O53/$D$26</f>
        <v>1.23965011579955</v>
      </c>
      <c r="P57" s="260" t="n">
        <f aca="false">+P53/$D$26</f>
        <v>1.2950003569797</v>
      </c>
      <c r="Q57" s="260" t="n">
        <f aca="false">+Q53/$D$26</f>
        <v>1.35035059815985</v>
      </c>
      <c r="R57" s="260" t="n">
        <f aca="false">+R53/$D$26</f>
        <v>1.40570083934001</v>
      </c>
      <c r="S57" s="260" t="n">
        <f aca="false">+S53/$D$26</f>
        <v>1.46105108052016</v>
      </c>
    </row>
    <row r="58" customFormat="false" ht="12.75" hidden="false" customHeight="false" outlineLevel="0" collapsed="false">
      <c r="L58" s="223" t="s">
        <v>326</v>
      </c>
      <c r="M58" s="257"/>
      <c r="N58" s="260" t="n">
        <f aca="false">+N52/$D$25</f>
        <v>1.42347810748088</v>
      </c>
      <c r="O58" s="260" t="n">
        <f aca="false">+O52/$D$25</f>
        <v>1.55288520816096</v>
      </c>
      <c r="P58" s="260" t="n">
        <f aca="false">+P52/$D$25</f>
        <v>1.68229230884104</v>
      </c>
      <c r="Q58" s="260" t="n">
        <f aca="false">+Q52/$D$25</f>
        <v>1.81169940952112</v>
      </c>
      <c r="R58" s="260" t="n">
        <f aca="false">+R52/$D$25</f>
        <v>1.9411065102012</v>
      </c>
      <c r="S58" s="260" t="n">
        <f aca="false">+S52/$D$25</f>
        <v>2.07051361088128</v>
      </c>
    </row>
    <row r="59" customFormat="false" ht="12.75" hidden="false" customHeight="false" outlineLevel="0" collapsed="false">
      <c r="L59" s="223" t="s">
        <v>327</v>
      </c>
      <c r="M59" s="257"/>
      <c r="N59" s="260" t="n">
        <f aca="false">N52/$D$23</f>
        <v>9.06349023674662</v>
      </c>
      <c r="O59" s="260" t="n">
        <f aca="false">O52/$D$23</f>
        <v>9.88744389463268</v>
      </c>
      <c r="P59" s="260" t="n">
        <f aca="false">P52/$D$23</f>
        <v>10.7113975525187</v>
      </c>
      <c r="Q59" s="260" t="n">
        <f aca="false">Q52/$D$23</f>
        <v>11.5353512104048</v>
      </c>
      <c r="R59" s="260" t="n">
        <f aca="false">R52/$D$23</f>
        <v>12.3593048682908</v>
      </c>
      <c r="S59" s="260" t="n">
        <f aca="false">S52/$D$23</f>
        <v>13.1832585261769</v>
      </c>
    </row>
    <row r="60" customFormat="false" ht="12.75" hidden="false" customHeight="false" outlineLevel="0" collapsed="false">
      <c r="M60" s="257"/>
      <c r="N60" s="260"/>
      <c r="O60" s="260"/>
      <c r="P60" s="260"/>
      <c r="Q60" s="260"/>
      <c r="R60" s="260"/>
      <c r="S60" s="260"/>
    </row>
    <row r="61" customFormat="false" ht="12.75" hidden="true" customHeight="false" outlineLevel="0" collapsed="false">
      <c r="L61" s="223" t="s">
        <v>342</v>
      </c>
      <c r="M61" s="257"/>
      <c r="N61" s="259" t="n">
        <v>0.1</v>
      </c>
      <c r="O61" s="259" t="n">
        <v>0.2</v>
      </c>
      <c r="P61" s="259" t="n">
        <v>0.3</v>
      </c>
      <c r="Q61" s="259" t="n">
        <v>0.4</v>
      </c>
      <c r="R61" s="259" t="n">
        <v>0.5</v>
      </c>
      <c r="S61" s="259" t="n">
        <v>0.6</v>
      </c>
    </row>
    <row r="62" customFormat="false" ht="12.75" hidden="false" customHeight="false" outlineLevel="0" collapsed="false">
      <c r="L62" s="261" t="s">
        <v>343</v>
      </c>
      <c r="M62" s="257" t="n">
        <f aca="false">+K19</f>
        <v>-1837.55554892833</v>
      </c>
      <c r="N62" s="262" t="n">
        <f aca="true">TABLE($M62,$D$9,N$61)</f>
        <v>-1837.55554892833</v>
      </c>
      <c r="O62" s="262" t="n">
        <f aca="true">TABLE($M62,$D$9,O$61)</f>
        <v>-1837.55554892833</v>
      </c>
      <c r="P62" s="262" t="n">
        <f aca="true">TABLE($M62,$D$9,P$61)</f>
        <v>-1837.55554892833</v>
      </c>
      <c r="Q62" s="262" t="n">
        <f aca="true">TABLE($M62,$D$9,Q$61)</f>
        <v>-1837.55554892833</v>
      </c>
      <c r="R62" s="262" t="n">
        <f aca="true">TABLE($M62,$D$9,R$61)</f>
        <v>-1837.55554892833</v>
      </c>
      <c r="S62" s="262" t="n">
        <f aca="true">TABLE($M62,$D$9,S$61)</f>
        <v>-1837.55554892833</v>
      </c>
    </row>
    <row r="63" customFormat="false" ht="12.75" hidden="true" customHeight="false" outlineLevel="0" collapsed="false">
      <c r="L63" s="261" t="s">
        <v>342</v>
      </c>
      <c r="M63" s="263"/>
      <c r="N63" s="264" t="n">
        <v>0.1</v>
      </c>
      <c r="O63" s="264" t="n">
        <v>0.2</v>
      </c>
      <c r="P63" s="264" t="n">
        <v>0.3</v>
      </c>
      <c r="Q63" s="264" t="n">
        <v>0.4</v>
      </c>
      <c r="R63" s="264" t="n">
        <v>0.5</v>
      </c>
      <c r="S63" s="264" t="n">
        <v>0.6</v>
      </c>
    </row>
    <row r="64" customFormat="false" ht="12.75" hidden="false" customHeight="false" outlineLevel="0" collapsed="false">
      <c r="L64" s="223" t="s">
        <v>344</v>
      </c>
      <c r="M64" s="265" t="n">
        <f aca="false">+K20</f>
        <v>1741.49409107166</v>
      </c>
      <c r="N64" s="262" t="n">
        <f aca="true">TABLE($M64,$D$9,N$63)</f>
        <v>3107.18778707167</v>
      </c>
      <c r="O64" s="262" t="n">
        <f aca="true">TABLE($M64,$D$9,O$63)</f>
        <v>2765.76436307166</v>
      </c>
      <c r="P64" s="262" t="n">
        <f aca="true">TABLE($M64,$D$9,P$63)</f>
        <v>2424.34093907166</v>
      </c>
      <c r="Q64" s="262" t="n">
        <f aca="true">TABLE($M64,$D$9,Q$63)</f>
        <v>2082.91751507167</v>
      </c>
      <c r="R64" s="262" t="n">
        <f aca="true">TABLE($M64,$D$9,R$63)</f>
        <v>1741.49409107166</v>
      </c>
      <c r="S64" s="262" t="n">
        <f aca="true">TABLE($M64,$D$9,S$63)</f>
        <v>1400.07066707166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&amp;L&amp;P&amp;C&amp;D&amp;T&amp;R&amp;F</oddFooter>
  </headerFooter>
  <rowBreaks count="1" manualBreakCount="1">
    <brk id="45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100" zoomScalePageLayoutView="70" workbookViewId="0">
      <selection pane="topLeft" activeCell="A43" activeCellId="0" sqref="A43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23" width="2.84"/>
    <col collapsed="false" customWidth="true" hidden="false" outlineLevel="0" max="2" min="2" style="223" width="25.41"/>
    <col collapsed="false" customWidth="true" hidden="false" outlineLevel="0" max="3" min="3" style="223" width="7.28"/>
    <col collapsed="false" customWidth="true" hidden="false" outlineLevel="0" max="4" min="4" style="223" width="20.99"/>
    <col collapsed="false" customWidth="true" hidden="false" outlineLevel="0" max="5" min="5" style="223" width="12.99"/>
    <col collapsed="false" customWidth="true" hidden="false" outlineLevel="0" max="7" min="6" style="223" width="15.28"/>
    <col collapsed="false" customWidth="true" hidden="false" outlineLevel="0" max="8" min="8" style="223" width="21.13"/>
    <col collapsed="false" customWidth="true" hidden="false" outlineLevel="0" max="9" min="9" style="223" width="21.7"/>
    <col collapsed="false" customWidth="true" hidden="false" outlineLevel="0" max="10" min="10" style="223" width="9.99"/>
    <col collapsed="false" customWidth="true" hidden="false" outlineLevel="0" max="11" min="11" style="223" width="11.7"/>
    <col collapsed="false" customWidth="true" hidden="false" outlineLevel="0" max="12" min="12" style="223" width="28.85"/>
    <col collapsed="false" customWidth="true" hidden="false" outlineLevel="0" max="13" min="13" style="223" width="3.28"/>
    <col collapsed="false" customWidth="true" hidden="false" outlineLevel="0" max="19" min="14" style="223" width="15.7"/>
    <col collapsed="false" customWidth="false" hidden="false" outlineLevel="0" max="257" min="20" style="223" width="7.99"/>
  </cols>
  <sheetData>
    <row r="1" customFormat="false" ht="22.5" hidden="false" customHeight="false" outlineLevel="0" collapsed="false">
      <c r="B1" s="224" t="s">
        <v>287</v>
      </c>
    </row>
    <row r="2" customFormat="false" ht="15.75" hidden="false" customHeight="false" outlineLevel="0" collapsed="false">
      <c r="B2" s="225" t="s">
        <v>345</v>
      </c>
    </row>
    <row r="3" customFormat="false" ht="12.75" hidden="false" customHeight="false" outlineLevel="0" collapsed="false">
      <c r="B3" s="226" t="s">
        <v>289</v>
      </c>
    </row>
    <row r="4" customFormat="false" ht="12.75" hidden="false" customHeight="false" outlineLevel="0" collapsed="false">
      <c r="B4" s="226"/>
    </row>
    <row r="5" customFormat="false" ht="12.75" hidden="false" customHeight="false" outlineLevel="0" collapsed="false">
      <c r="E5" s="227" t="s">
        <v>290</v>
      </c>
      <c r="H5" s="227" t="s">
        <v>291</v>
      </c>
      <c r="I5" s="227" t="s">
        <v>292</v>
      </c>
    </row>
    <row r="6" customFormat="false" ht="12.75" hidden="false" customHeight="false" outlineLevel="0" collapsed="false">
      <c r="D6" s="227" t="s">
        <v>293</v>
      </c>
      <c r="E6" s="227" t="s">
        <v>294</v>
      </c>
      <c r="F6" s="227" t="s">
        <v>295</v>
      </c>
      <c r="G6" s="227" t="s">
        <v>296</v>
      </c>
      <c r="H6" s="227" t="s">
        <v>297</v>
      </c>
      <c r="I6" s="227" t="s">
        <v>298</v>
      </c>
      <c r="J6" s="227"/>
      <c r="K6" s="227" t="s">
        <v>299</v>
      </c>
    </row>
    <row r="7" customFormat="false" ht="12.75" hidden="false" customHeight="false" outlineLevel="0" collapsed="false">
      <c r="A7" s="228"/>
      <c r="B7" s="229" t="s">
        <v>300</v>
      </c>
      <c r="C7" s="228"/>
      <c r="D7" s="228" t="s">
        <v>301</v>
      </c>
      <c r="E7" s="228" t="s">
        <v>302</v>
      </c>
      <c r="F7" s="228" t="s">
        <v>303</v>
      </c>
      <c r="G7" s="228" t="s">
        <v>304</v>
      </c>
      <c r="H7" s="228" t="s">
        <v>305</v>
      </c>
      <c r="I7" s="228" t="s">
        <v>306</v>
      </c>
      <c r="J7" s="228" t="s">
        <v>10</v>
      </c>
      <c r="K7" s="228" t="s">
        <v>307</v>
      </c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  <c r="EE7" s="228"/>
      <c r="EF7" s="228"/>
      <c r="EG7" s="228"/>
      <c r="EH7" s="228"/>
      <c r="EI7" s="228"/>
      <c r="EJ7" s="228"/>
      <c r="EK7" s="228"/>
      <c r="EL7" s="228"/>
      <c r="EM7" s="228"/>
      <c r="EN7" s="228"/>
      <c r="EO7" s="228"/>
      <c r="EP7" s="228"/>
      <c r="EQ7" s="228"/>
      <c r="ER7" s="228"/>
      <c r="ES7" s="228"/>
      <c r="ET7" s="228"/>
      <c r="EU7" s="228"/>
      <c r="EV7" s="228"/>
      <c r="EW7" s="228"/>
      <c r="EX7" s="228"/>
      <c r="EY7" s="228"/>
      <c r="EZ7" s="228"/>
      <c r="FA7" s="228"/>
      <c r="FB7" s="228"/>
      <c r="FC7" s="228"/>
      <c r="FD7" s="228"/>
      <c r="FE7" s="228"/>
      <c r="FF7" s="228"/>
      <c r="FG7" s="228"/>
      <c r="FH7" s="228"/>
      <c r="FI7" s="228"/>
      <c r="FJ7" s="228"/>
      <c r="FK7" s="228"/>
      <c r="FL7" s="228"/>
      <c r="FM7" s="228"/>
      <c r="FN7" s="228"/>
      <c r="FO7" s="228"/>
      <c r="FP7" s="228"/>
      <c r="FQ7" s="228"/>
      <c r="FR7" s="228"/>
      <c r="FS7" s="228"/>
      <c r="FT7" s="228"/>
      <c r="FU7" s="228"/>
      <c r="FV7" s="228"/>
      <c r="FW7" s="228"/>
      <c r="FX7" s="228"/>
      <c r="FY7" s="228"/>
      <c r="FZ7" s="228"/>
      <c r="GA7" s="228"/>
      <c r="GB7" s="228"/>
      <c r="GC7" s="228"/>
      <c r="GD7" s="228"/>
      <c r="GE7" s="228"/>
      <c r="GF7" s="228"/>
      <c r="GG7" s="228"/>
      <c r="GH7" s="228"/>
      <c r="GI7" s="228"/>
      <c r="GJ7" s="228"/>
      <c r="GK7" s="228"/>
      <c r="GL7" s="228"/>
      <c r="GM7" s="228"/>
      <c r="GN7" s="228"/>
      <c r="GO7" s="228"/>
      <c r="GP7" s="228"/>
      <c r="GQ7" s="228"/>
      <c r="GR7" s="228"/>
      <c r="GS7" s="228"/>
      <c r="GT7" s="228"/>
      <c r="GU7" s="228"/>
      <c r="GV7" s="228"/>
      <c r="GW7" s="228"/>
      <c r="GX7" s="228"/>
      <c r="GY7" s="228"/>
      <c r="GZ7" s="228"/>
      <c r="HA7" s="228"/>
      <c r="HB7" s="228"/>
      <c r="HC7" s="228"/>
      <c r="HD7" s="228"/>
      <c r="HE7" s="228"/>
      <c r="HF7" s="228"/>
      <c r="HG7" s="228"/>
      <c r="HH7" s="228"/>
      <c r="HI7" s="228"/>
      <c r="HJ7" s="228"/>
      <c r="HK7" s="228"/>
      <c r="HL7" s="228"/>
      <c r="HM7" s="228"/>
      <c r="HN7" s="228"/>
      <c r="HO7" s="228"/>
      <c r="HP7" s="228"/>
      <c r="HQ7" s="228"/>
      <c r="HR7" s="228"/>
      <c r="HS7" s="228"/>
      <c r="HT7" s="228"/>
      <c r="HU7" s="228"/>
      <c r="HV7" s="228"/>
      <c r="HW7" s="228"/>
      <c r="HX7" s="228"/>
      <c r="HY7" s="228"/>
      <c r="HZ7" s="228"/>
      <c r="IA7" s="228"/>
      <c r="IB7" s="228"/>
      <c r="IC7" s="228"/>
      <c r="ID7" s="228"/>
      <c r="IE7" s="228"/>
      <c r="IF7" s="228"/>
      <c r="IG7" s="228"/>
      <c r="IH7" s="228"/>
      <c r="II7" s="228"/>
      <c r="IJ7" s="228"/>
      <c r="IK7" s="228"/>
      <c r="IL7" s="228"/>
      <c r="IM7" s="228"/>
      <c r="IN7" s="228"/>
      <c r="IO7" s="228"/>
      <c r="IP7" s="228"/>
      <c r="IQ7" s="228"/>
      <c r="IR7" s="228"/>
      <c r="IS7" s="228"/>
      <c r="IT7" s="228"/>
      <c r="IU7" s="228"/>
      <c r="IV7" s="228"/>
      <c r="IW7" s="228"/>
    </row>
    <row r="8" customFormat="false" ht="12.75" hidden="false" customHeight="false" outlineLevel="0" collapsed="false">
      <c r="A8" s="228"/>
      <c r="B8" s="230" t="s">
        <v>308</v>
      </c>
      <c r="C8" s="231" t="n">
        <f aca="false">+'Corp I-S&amp;B-S'!C54</f>
        <v>36600</v>
      </c>
      <c r="D8" s="232" t="n">
        <f aca="false">+'Financial Data Slide'!K19</f>
        <v>21.44</v>
      </c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8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  <c r="EC8" s="228"/>
      <c r="ED8" s="228"/>
      <c r="EE8" s="228"/>
      <c r="EF8" s="228"/>
      <c r="EG8" s="228"/>
      <c r="EH8" s="228"/>
      <c r="EI8" s="228"/>
      <c r="EJ8" s="228"/>
      <c r="EK8" s="228"/>
      <c r="EL8" s="228"/>
      <c r="EM8" s="228"/>
      <c r="EN8" s="228"/>
      <c r="EO8" s="228"/>
      <c r="EP8" s="228"/>
      <c r="EQ8" s="228"/>
      <c r="ER8" s="228"/>
      <c r="ES8" s="228"/>
      <c r="ET8" s="228"/>
      <c r="EU8" s="228"/>
      <c r="EV8" s="228"/>
      <c r="EW8" s="228"/>
      <c r="EX8" s="228"/>
      <c r="EY8" s="228"/>
      <c r="EZ8" s="228"/>
      <c r="FA8" s="228"/>
      <c r="FB8" s="228"/>
      <c r="FC8" s="228"/>
      <c r="FD8" s="228"/>
      <c r="FE8" s="228"/>
      <c r="FF8" s="228"/>
      <c r="FG8" s="228"/>
      <c r="FH8" s="228"/>
      <c r="FI8" s="228"/>
      <c r="FJ8" s="228"/>
      <c r="FK8" s="228"/>
      <c r="FL8" s="228"/>
      <c r="FM8" s="228"/>
      <c r="FN8" s="228"/>
      <c r="FO8" s="228"/>
      <c r="FP8" s="228"/>
      <c r="FQ8" s="228"/>
      <c r="FR8" s="228"/>
      <c r="FS8" s="228"/>
      <c r="FT8" s="228"/>
      <c r="FU8" s="228"/>
      <c r="FV8" s="228"/>
      <c r="FW8" s="228"/>
      <c r="FX8" s="228"/>
      <c r="FY8" s="228"/>
      <c r="FZ8" s="228"/>
      <c r="GA8" s="228"/>
      <c r="GB8" s="228"/>
      <c r="GC8" s="228"/>
      <c r="GD8" s="228"/>
      <c r="GE8" s="228"/>
      <c r="GF8" s="228"/>
      <c r="GG8" s="228"/>
      <c r="GH8" s="228"/>
      <c r="GI8" s="228"/>
      <c r="GJ8" s="228"/>
      <c r="GK8" s="228"/>
      <c r="GL8" s="228"/>
      <c r="GM8" s="228"/>
      <c r="GN8" s="228"/>
      <c r="GO8" s="228"/>
      <c r="GP8" s="228"/>
      <c r="GQ8" s="228"/>
      <c r="GR8" s="228"/>
      <c r="GS8" s="228"/>
      <c r="GT8" s="228"/>
      <c r="GU8" s="228"/>
      <c r="GV8" s="228"/>
      <c r="GW8" s="228"/>
      <c r="GX8" s="228"/>
      <c r="GY8" s="228"/>
      <c r="GZ8" s="228"/>
      <c r="HA8" s="228"/>
      <c r="HB8" s="228"/>
      <c r="HC8" s="228"/>
      <c r="HD8" s="228"/>
      <c r="HE8" s="228"/>
      <c r="HF8" s="228"/>
      <c r="HG8" s="228"/>
      <c r="HH8" s="228"/>
      <c r="HI8" s="228"/>
      <c r="HJ8" s="228"/>
      <c r="HK8" s="228"/>
      <c r="HL8" s="228"/>
      <c r="HM8" s="228"/>
      <c r="HN8" s="228"/>
      <c r="HO8" s="228"/>
      <c r="HP8" s="228"/>
      <c r="HQ8" s="228"/>
      <c r="HR8" s="228"/>
      <c r="HS8" s="228"/>
      <c r="HT8" s="228"/>
      <c r="HU8" s="228"/>
      <c r="HV8" s="228"/>
      <c r="HW8" s="228"/>
      <c r="HX8" s="228"/>
      <c r="HY8" s="228"/>
      <c r="HZ8" s="228"/>
      <c r="IA8" s="228"/>
      <c r="IB8" s="228"/>
      <c r="IC8" s="228"/>
      <c r="ID8" s="228"/>
      <c r="IE8" s="228"/>
      <c r="IF8" s="228"/>
      <c r="IG8" s="228"/>
      <c r="IH8" s="228"/>
      <c r="II8" s="228"/>
      <c r="IJ8" s="228"/>
      <c r="IK8" s="228"/>
      <c r="IL8" s="228"/>
      <c r="IM8" s="228"/>
      <c r="IN8" s="228"/>
      <c r="IO8" s="228"/>
      <c r="IP8" s="228"/>
      <c r="IQ8" s="228"/>
      <c r="IR8" s="228"/>
      <c r="IS8" s="228"/>
      <c r="IT8" s="228"/>
      <c r="IU8" s="228"/>
      <c r="IV8" s="228"/>
      <c r="IW8" s="228"/>
    </row>
    <row r="9" customFormat="false" ht="12.75" hidden="false" customHeight="false" outlineLevel="0" collapsed="false">
      <c r="A9" s="228"/>
      <c r="B9" s="230" t="s">
        <v>252</v>
      </c>
      <c r="C9" s="228"/>
      <c r="D9" s="266" t="n">
        <f aca="false">'Full BreakUp'!G12</f>
        <v>0.5</v>
      </c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  <c r="EE9" s="228"/>
      <c r="EF9" s="228"/>
      <c r="EG9" s="228"/>
      <c r="EH9" s="228"/>
      <c r="EI9" s="228"/>
      <c r="EJ9" s="228"/>
      <c r="EK9" s="228"/>
      <c r="EL9" s="228"/>
      <c r="EM9" s="228"/>
      <c r="EN9" s="228"/>
      <c r="EO9" s="228"/>
      <c r="EP9" s="228"/>
      <c r="EQ9" s="228"/>
      <c r="ER9" s="228"/>
      <c r="ES9" s="228"/>
      <c r="ET9" s="228"/>
      <c r="EU9" s="228"/>
      <c r="EV9" s="228"/>
      <c r="EW9" s="228"/>
      <c r="EX9" s="228"/>
      <c r="EY9" s="228"/>
      <c r="EZ9" s="228"/>
      <c r="FA9" s="228"/>
      <c r="FB9" s="228"/>
      <c r="FC9" s="228"/>
      <c r="FD9" s="228"/>
      <c r="FE9" s="228"/>
      <c r="FF9" s="228"/>
      <c r="FG9" s="228"/>
      <c r="FH9" s="228"/>
      <c r="FI9" s="228"/>
      <c r="FJ9" s="228"/>
      <c r="FK9" s="228"/>
      <c r="FL9" s="228"/>
      <c r="FM9" s="228"/>
      <c r="FN9" s="228"/>
      <c r="FO9" s="228"/>
      <c r="FP9" s="228"/>
      <c r="FQ9" s="228"/>
      <c r="FR9" s="228"/>
      <c r="FS9" s="228"/>
      <c r="FT9" s="228"/>
      <c r="FU9" s="228"/>
      <c r="FV9" s="228"/>
      <c r="FW9" s="228"/>
      <c r="FX9" s="228"/>
      <c r="FY9" s="228"/>
      <c r="FZ9" s="228"/>
      <c r="GA9" s="228"/>
      <c r="GB9" s="228"/>
      <c r="GC9" s="228"/>
      <c r="GD9" s="228"/>
      <c r="GE9" s="228"/>
      <c r="GF9" s="228"/>
      <c r="GG9" s="228"/>
      <c r="GH9" s="228"/>
      <c r="GI9" s="228"/>
      <c r="GJ9" s="228"/>
      <c r="GK9" s="228"/>
      <c r="GL9" s="228"/>
      <c r="GM9" s="228"/>
      <c r="GN9" s="228"/>
      <c r="GO9" s="228"/>
      <c r="GP9" s="228"/>
      <c r="GQ9" s="228"/>
      <c r="GR9" s="228"/>
      <c r="GS9" s="228"/>
      <c r="GT9" s="228"/>
      <c r="GU9" s="228"/>
      <c r="GV9" s="228"/>
      <c r="GW9" s="228"/>
      <c r="GX9" s="228"/>
      <c r="GY9" s="228"/>
      <c r="GZ9" s="228"/>
      <c r="HA9" s="228"/>
      <c r="HB9" s="228"/>
      <c r="HC9" s="228"/>
      <c r="HD9" s="228"/>
      <c r="HE9" s="228"/>
      <c r="HF9" s="228"/>
      <c r="HG9" s="228"/>
      <c r="HH9" s="228"/>
      <c r="HI9" s="228"/>
      <c r="HJ9" s="228"/>
      <c r="HK9" s="228"/>
      <c r="HL9" s="228"/>
      <c r="HM9" s="228"/>
      <c r="HN9" s="228"/>
      <c r="HO9" s="228"/>
      <c r="HP9" s="228"/>
      <c r="HQ9" s="228"/>
      <c r="HR9" s="228"/>
      <c r="HS9" s="228"/>
      <c r="HT9" s="228"/>
      <c r="HU9" s="228"/>
      <c r="HV9" s="228"/>
      <c r="HW9" s="228"/>
      <c r="HX9" s="228"/>
      <c r="HY9" s="228"/>
      <c r="HZ9" s="228"/>
      <c r="IA9" s="228"/>
      <c r="IB9" s="228"/>
      <c r="IC9" s="228"/>
      <c r="ID9" s="228"/>
      <c r="IE9" s="228"/>
      <c r="IF9" s="228"/>
      <c r="IG9" s="228"/>
      <c r="IH9" s="228"/>
      <c r="II9" s="228"/>
      <c r="IJ9" s="228"/>
      <c r="IK9" s="228"/>
      <c r="IL9" s="228"/>
      <c r="IM9" s="228"/>
      <c r="IN9" s="228"/>
      <c r="IO9" s="228"/>
      <c r="IP9" s="228"/>
      <c r="IQ9" s="228"/>
      <c r="IR9" s="228"/>
      <c r="IS9" s="228"/>
      <c r="IT9" s="228"/>
      <c r="IU9" s="228"/>
      <c r="IV9" s="228"/>
      <c r="IW9" s="228"/>
    </row>
    <row r="10" customFormat="false" ht="12.75" hidden="false" customHeight="false" outlineLevel="0" collapsed="false">
      <c r="A10" s="228"/>
      <c r="B10" s="230" t="s">
        <v>309</v>
      </c>
      <c r="C10" s="228"/>
      <c r="D10" s="234" t="n">
        <f aca="false">D8*(1+D9)</f>
        <v>32.16</v>
      </c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  <c r="EE10" s="228"/>
      <c r="EF10" s="228"/>
      <c r="EG10" s="228"/>
      <c r="EH10" s="228"/>
      <c r="EI10" s="228"/>
      <c r="EJ10" s="228"/>
      <c r="EK10" s="228"/>
      <c r="EL10" s="228"/>
      <c r="EM10" s="228"/>
      <c r="EN10" s="228"/>
      <c r="EO10" s="228"/>
      <c r="EP10" s="228"/>
      <c r="EQ10" s="228"/>
      <c r="ER10" s="228"/>
      <c r="ES10" s="228"/>
      <c r="ET10" s="228"/>
      <c r="EU10" s="228"/>
      <c r="EV10" s="228"/>
      <c r="EW10" s="228"/>
      <c r="EX10" s="228"/>
      <c r="EY10" s="228"/>
      <c r="EZ10" s="228"/>
      <c r="FA10" s="228"/>
      <c r="FB10" s="228"/>
      <c r="FC10" s="228"/>
      <c r="FD10" s="228"/>
      <c r="FE10" s="228"/>
      <c r="FF10" s="228"/>
      <c r="FG10" s="228"/>
      <c r="FH10" s="228"/>
      <c r="FI10" s="228"/>
      <c r="FJ10" s="228"/>
      <c r="FK10" s="228"/>
      <c r="FL10" s="228"/>
      <c r="FM10" s="228"/>
      <c r="FN10" s="228"/>
      <c r="FO10" s="228"/>
      <c r="FP10" s="228"/>
      <c r="FQ10" s="228"/>
      <c r="FR10" s="228"/>
      <c r="FS10" s="228"/>
      <c r="FT10" s="228"/>
      <c r="FU10" s="228"/>
      <c r="FV10" s="228"/>
      <c r="FW10" s="228"/>
      <c r="FX10" s="228"/>
      <c r="FY10" s="228"/>
      <c r="FZ10" s="228"/>
      <c r="GA10" s="228"/>
      <c r="GB10" s="228"/>
      <c r="GC10" s="228"/>
      <c r="GD10" s="228"/>
      <c r="GE10" s="228"/>
      <c r="GF10" s="228"/>
      <c r="GG10" s="228"/>
      <c r="GH10" s="228"/>
      <c r="GI10" s="228"/>
      <c r="GJ10" s="228"/>
      <c r="GK10" s="228"/>
      <c r="GL10" s="228"/>
      <c r="GM10" s="228"/>
      <c r="GN10" s="228"/>
      <c r="GO10" s="228"/>
      <c r="GP10" s="228"/>
      <c r="GQ10" s="228"/>
      <c r="GR10" s="228"/>
      <c r="GS10" s="228"/>
      <c r="GT10" s="228"/>
      <c r="GU10" s="228"/>
      <c r="GV10" s="228"/>
      <c r="GW10" s="228"/>
      <c r="GX10" s="228"/>
      <c r="GY10" s="228"/>
      <c r="GZ10" s="228"/>
      <c r="HA10" s="228"/>
      <c r="HB10" s="228"/>
      <c r="HC10" s="228"/>
      <c r="HD10" s="228"/>
      <c r="HE10" s="228"/>
      <c r="HF10" s="228"/>
      <c r="HG10" s="228"/>
      <c r="HH10" s="228"/>
      <c r="HI10" s="228"/>
      <c r="HJ10" s="228"/>
      <c r="HK10" s="228"/>
      <c r="HL10" s="228"/>
      <c r="HM10" s="228"/>
      <c r="HN10" s="228"/>
      <c r="HO10" s="228"/>
      <c r="HP10" s="228"/>
      <c r="HQ10" s="228"/>
      <c r="HR10" s="228"/>
      <c r="HS10" s="228"/>
      <c r="HT10" s="228"/>
      <c r="HU10" s="228"/>
      <c r="HV10" s="228"/>
      <c r="HW10" s="228"/>
      <c r="HX10" s="228"/>
      <c r="HY10" s="228"/>
      <c r="HZ10" s="228"/>
      <c r="IA10" s="228"/>
      <c r="IB10" s="228"/>
      <c r="IC10" s="228"/>
      <c r="ID10" s="228"/>
      <c r="IE10" s="228"/>
      <c r="IF10" s="228"/>
      <c r="IG10" s="228"/>
      <c r="IH10" s="228"/>
      <c r="II10" s="228"/>
      <c r="IJ10" s="228"/>
      <c r="IK10" s="228"/>
      <c r="IL10" s="228"/>
      <c r="IM10" s="228"/>
      <c r="IN10" s="228"/>
      <c r="IO10" s="228"/>
      <c r="IP10" s="228"/>
      <c r="IQ10" s="228"/>
      <c r="IR10" s="228"/>
      <c r="IS10" s="228"/>
      <c r="IT10" s="228"/>
      <c r="IU10" s="228"/>
      <c r="IV10" s="228"/>
      <c r="IW10" s="228"/>
    </row>
    <row r="11" customFormat="false" ht="12.75" hidden="false" customHeight="false" outlineLevel="0" collapsed="false">
      <c r="A11" s="228"/>
      <c r="B11" s="230" t="s">
        <v>310</v>
      </c>
      <c r="C11" s="228"/>
      <c r="D11" s="235" t="n">
        <f aca="false">+'Financial Data Slide'!E26</f>
        <v>159.246</v>
      </c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  <c r="EE11" s="228"/>
      <c r="EF11" s="228"/>
      <c r="EG11" s="228"/>
      <c r="EH11" s="228"/>
      <c r="EI11" s="228"/>
      <c r="EJ11" s="228"/>
      <c r="EK11" s="228"/>
      <c r="EL11" s="228"/>
      <c r="EM11" s="228"/>
      <c r="EN11" s="228"/>
      <c r="EO11" s="228"/>
      <c r="EP11" s="228"/>
      <c r="EQ11" s="228"/>
      <c r="ER11" s="228"/>
      <c r="ES11" s="228"/>
      <c r="ET11" s="228"/>
      <c r="EU11" s="228"/>
      <c r="EV11" s="228"/>
      <c r="EW11" s="228"/>
      <c r="EX11" s="228"/>
      <c r="EY11" s="228"/>
      <c r="EZ11" s="228"/>
      <c r="FA11" s="228"/>
      <c r="FB11" s="228"/>
      <c r="FC11" s="228"/>
      <c r="FD11" s="228"/>
      <c r="FE11" s="228"/>
      <c r="FF11" s="228"/>
      <c r="FG11" s="228"/>
      <c r="FH11" s="228"/>
      <c r="FI11" s="228"/>
      <c r="FJ11" s="228"/>
      <c r="FK11" s="228"/>
      <c r="FL11" s="228"/>
      <c r="FM11" s="228"/>
      <c r="FN11" s="228"/>
      <c r="FO11" s="228"/>
      <c r="FP11" s="228"/>
      <c r="FQ11" s="228"/>
      <c r="FR11" s="228"/>
      <c r="FS11" s="228"/>
      <c r="FT11" s="228"/>
      <c r="FU11" s="228"/>
      <c r="FV11" s="228"/>
      <c r="FW11" s="228"/>
      <c r="FX11" s="228"/>
      <c r="FY11" s="228"/>
      <c r="FZ11" s="228"/>
      <c r="GA11" s="228"/>
      <c r="GB11" s="228"/>
      <c r="GC11" s="228"/>
      <c r="GD11" s="228"/>
      <c r="GE11" s="228"/>
      <c r="GF11" s="228"/>
      <c r="GG11" s="228"/>
      <c r="GH11" s="228"/>
      <c r="GI11" s="228"/>
      <c r="GJ11" s="228"/>
      <c r="GK11" s="228"/>
      <c r="GL11" s="228"/>
      <c r="GM11" s="228"/>
      <c r="GN11" s="228"/>
      <c r="GO11" s="228"/>
      <c r="GP11" s="228"/>
      <c r="GQ11" s="228"/>
      <c r="GR11" s="228"/>
      <c r="GS11" s="228"/>
      <c r="GT11" s="228"/>
      <c r="GU11" s="228"/>
      <c r="GV11" s="228"/>
      <c r="GW11" s="228"/>
      <c r="GX11" s="228"/>
      <c r="GY11" s="228"/>
      <c r="GZ11" s="228"/>
      <c r="HA11" s="228"/>
      <c r="HB11" s="228"/>
      <c r="HC11" s="228"/>
      <c r="HD11" s="228"/>
      <c r="HE11" s="228"/>
      <c r="HF11" s="228"/>
      <c r="HG11" s="228"/>
      <c r="HH11" s="228"/>
      <c r="HI11" s="228"/>
      <c r="HJ11" s="228"/>
      <c r="HK11" s="228"/>
      <c r="HL11" s="228"/>
      <c r="HM11" s="228"/>
      <c r="HN11" s="228"/>
      <c r="HO11" s="228"/>
      <c r="HP11" s="228"/>
      <c r="HQ11" s="228"/>
      <c r="HR11" s="228"/>
      <c r="HS11" s="228"/>
      <c r="HT11" s="228"/>
      <c r="HU11" s="228"/>
      <c r="HV11" s="228"/>
      <c r="HW11" s="228"/>
      <c r="HX11" s="228"/>
      <c r="HY11" s="228"/>
      <c r="HZ11" s="228"/>
      <c r="IA11" s="228"/>
      <c r="IB11" s="228"/>
      <c r="IC11" s="228"/>
      <c r="ID11" s="228"/>
      <c r="IE11" s="228"/>
      <c r="IF11" s="228"/>
      <c r="IG11" s="228"/>
      <c r="IH11" s="228"/>
      <c r="II11" s="228"/>
      <c r="IJ11" s="228"/>
      <c r="IK11" s="228"/>
      <c r="IL11" s="228"/>
      <c r="IM11" s="228"/>
      <c r="IN11" s="228"/>
      <c r="IO11" s="228"/>
      <c r="IP11" s="228"/>
      <c r="IQ11" s="228"/>
      <c r="IR11" s="228"/>
      <c r="IS11" s="228"/>
      <c r="IT11" s="228"/>
      <c r="IU11" s="228"/>
      <c r="IV11" s="228"/>
      <c r="IW11" s="228"/>
    </row>
    <row r="12" customFormat="false" ht="12.75" hidden="false" customHeight="false" outlineLevel="0" collapsed="false">
      <c r="B12" s="236" t="s">
        <v>311</v>
      </c>
      <c r="D12" s="237" t="n">
        <f aca="false">-D11*D10</f>
        <v>-5121.35136</v>
      </c>
      <c r="E12" s="238" t="s">
        <v>218</v>
      </c>
      <c r="F12" s="238" t="s">
        <v>218</v>
      </c>
      <c r="G12" s="238" t="s">
        <v>218</v>
      </c>
      <c r="H12" s="238" t="s">
        <v>218</v>
      </c>
      <c r="I12" s="239" t="n">
        <f aca="false">+I14-I13</f>
        <v>5448.35508888417</v>
      </c>
      <c r="J12" s="240" t="n">
        <f aca="false">J14-J13</f>
        <v>6100.401</v>
      </c>
      <c r="K12" s="237" t="n">
        <f aca="false">+J12+D12</f>
        <v>979.049639999999</v>
      </c>
    </row>
    <row r="13" customFormat="false" ht="18" hidden="false" customHeight="false" outlineLevel="0" collapsed="false">
      <c r="B13" s="236" t="s">
        <v>312</v>
      </c>
      <c r="D13" s="241" t="n">
        <f aca="false">-'Corp I-S&amp;B-S'!C71</f>
        <v>-3549.599</v>
      </c>
      <c r="E13" s="242" t="s">
        <v>218</v>
      </c>
      <c r="F13" s="242" t="s">
        <v>218</v>
      </c>
      <c r="G13" s="242" t="s">
        <v>218</v>
      </c>
      <c r="H13" s="242" t="s">
        <v>218</v>
      </c>
      <c r="I13" s="242" t="n">
        <f aca="false">IF((D13+E20+F20+G20+H20)&gt;0,0,-(D13+E20+F20+G20+H20))</f>
        <v>151.644911115835</v>
      </c>
      <c r="J13" s="242" t="n">
        <f aca="false">-D13</f>
        <v>3549.599</v>
      </c>
      <c r="K13" s="242" t="n">
        <v>0</v>
      </c>
      <c r="O13" s="240"/>
    </row>
    <row r="14" customFormat="false" ht="12.75" hidden="false" customHeight="false" outlineLevel="0" collapsed="false">
      <c r="B14" s="223" t="s">
        <v>259</v>
      </c>
      <c r="D14" s="243" t="n">
        <f aca="false">+D13+D12</f>
        <v>-8670.95036</v>
      </c>
      <c r="E14" s="243" t="n">
        <f aca="false">'Full BreakUp'!E23</f>
        <v>1400</v>
      </c>
      <c r="F14" s="243" t="n">
        <f aca="false">'Full BreakUp'!E29</f>
        <v>750</v>
      </c>
      <c r="G14" s="243" t="n">
        <f aca="false">'Full BreakUp'!E35</f>
        <v>1600</v>
      </c>
      <c r="H14" s="243" t="n">
        <f aca="false">'Full BreakUp'!E41</f>
        <v>300</v>
      </c>
      <c r="I14" s="243" t="n">
        <f aca="false">'Full BreakUp'!E47</f>
        <v>5600</v>
      </c>
      <c r="J14" s="243" t="n">
        <f aca="false">+SUM(E14:I14)</f>
        <v>9650</v>
      </c>
      <c r="K14" s="237" t="n">
        <f aca="false">+J14+D14</f>
        <v>979.049639999999</v>
      </c>
      <c r="O14" s="237"/>
    </row>
    <row r="15" customFormat="false" ht="12.75" hidden="false" customHeight="false" outlineLevel="0" collapsed="false">
      <c r="D15" s="243"/>
      <c r="E15" s="243"/>
      <c r="F15" s="243"/>
      <c r="G15" s="243"/>
      <c r="H15" s="243"/>
      <c r="I15" s="243"/>
      <c r="J15" s="243"/>
      <c r="K15" s="237"/>
      <c r="O15" s="237"/>
    </row>
    <row r="16" customFormat="false" ht="18" hidden="false" customHeight="false" outlineLevel="0" collapsed="false">
      <c r="B16" s="244" t="s">
        <v>313</v>
      </c>
      <c r="D16" s="242" t="s">
        <v>218</v>
      </c>
      <c r="E16" s="241" t="n">
        <f aca="false">-'Tax Basis'!H9</f>
        <v>-1223.59210204082</v>
      </c>
      <c r="F16" s="241" t="n">
        <f aca="false">-'Tax Basis'!G9</f>
        <v>-159.078386145647</v>
      </c>
      <c r="G16" s="241" t="n">
        <f aca="false">-'Tax Basis'!F9</f>
        <v>-442.678773731373</v>
      </c>
      <c r="H16" s="241" t="n">
        <f aca="false">-'Tax Basis'!M9</f>
        <v>-74.385435841778</v>
      </c>
      <c r="I16" s="241" t="n">
        <f aca="false">+D12</f>
        <v>-5121.35136</v>
      </c>
      <c r="J16" s="242"/>
      <c r="K16" s="242" t="n">
        <v>0</v>
      </c>
    </row>
    <row r="17" customFormat="false" ht="15.75" hidden="false" customHeight="false" outlineLevel="0" collapsed="false">
      <c r="B17" s="244" t="s">
        <v>314</v>
      </c>
      <c r="D17" s="245" t="s">
        <v>218</v>
      </c>
      <c r="E17" s="243" t="n">
        <f aca="false">'Full BreakUp'!E25</f>
        <v>338.544782572719</v>
      </c>
      <c r="F17" s="243" t="n">
        <f aca="false">'Full BreakUp'!E31</f>
        <v>590.921613854353</v>
      </c>
      <c r="G17" s="243" t="n">
        <f aca="false">'Full BreakUp'!E37</f>
        <v>538.544782572719</v>
      </c>
      <c r="H17" s="243" t="n">
        <f aca="false">'Full BreakUp'!E43</f>
        <v>225.614564158222</v>
      </c>
      <c r="I17" s="243" t="n">
        <f aca="false">'Full BreakUp'!E49</f>
        <v>479.245812499999</v>
      </c>
      <c r="J17" s="246"/>
      <c r="K17" s="246" t="n">
        <v>0</v>
      </c>
    </row>
    <row r="18" customFormat="false" ht="12.75" hidden="false" customHeight="false" outlineLevel="0" collapsed="false">
      <c r="B18" s="244"/>
      <c r="D18" s="245"/>
      <c r="E18" s="243"/>
      <c r="F18" s="243"/>
      <c r="G18" s="243"/>
      <c r="H18" s="243"/>
      <c r="I18" s="243"/>
      <c r="J18" s="246"/>
      <c r="K18" s="246"/>
    </row>
    <row r="19" customFormat="false" ht="12.75" hidden="false" customHeight="false" outlineLevel="0" collapsed="false">
      <c r="B19" s="244" t="s">
        <v>315</v>
      </c>
      <c r="C19" s="247" t="n">
        <v>0.385</v>
      </c>
      <c r="D19" s="243" t="n">
        <v>0</v>
      </c>
      <c r="E19" s="243" t="n">
        <f aca="false">-C19*E17</f>
        <v>-130.339741290497</v>
      </c>
      <c r="F19" s="243" t="n">
        <f aca="false">-C19*F17</f>
        <v>-227.504821333926</v>
      </c>
      <c r="G19" s="243" t="n">
        <f aca="false">-$C$19*G17</f>
        <v>-207.339741290497</v>
      </c>
      <c r="H19" s="243" t="n">
        <f aca="false">-$C$19*H17</f>
        <v>-86.8616072009155</v>
      </c>
      <c r="I19" s="243" t="n">
        <f aca="false">-$C$19*I17</f>
        <v>-184.5096378125</v>
      </c>
      <c r="J19" s="246"/>
      <c r="K19" s="248" t="n">
        <f aca="false">SUM(E19:I19)</f>
        <v>-836.555548928335</v>
      </c>
    </row>
    <row r="20" customFormat="false" ht="14.45" hidden="false" customHeight="true" outlineLevel="0" collapsed="false">
      <c r="B20" s="244" t="s">
        <v>316</v>
      </c>
      <c r="D20" s="249" t="n">
        <f aca="false">+D14</f>
        <v>-8670.95036</v>
      </c>
      <c r="E20" s="249" t="n">
        <f aca="false">+E14+E19</f>
        <v>1269.6602587095</v>
      </c>
      <c r="F20" s="249" t="n">
        <f aca="false">+F14+F19</f>
        <v>522.495178666074</v>
      </c>
      <c r="G20" s="249" t="n">
        <f aca="false">+G14+G19</f>
        <v>1392.6602587095</v>
      </c>
      <c r="H20" s="249" t="n">
        <f aca="false">+H14+H19</f>
        <v>213.138392799085</v>
      </c>
      <c r="I20" s="249" t="n">
        <f aca="false">+I14+I19</f>
        <v>5415.4903621875</v>
      </c>
      <c r="J20" s="246"/>
      <c r="K20" s="249" t="n">
        <f aca="false">+K14+K19</f>
        <v>142.494091071665</v>
      </c>
    </row>
    <row r="21" customFormat="false" ht="13.5" hidden="false" customHeight="false" outlineLevel="0" collapsed="false">
      <c r="B21" s="244"/>
      <c r="D21" s="243"/>
      <c r="E21" s="243"/>
      <c r="F21" s="243"/>
      <c r="G21" s="243"/>
      <c r="H21" s="243"/>
      <c r="I21" s="243"/>
      <c r="J21" s="246"/>
      <c r="K21" s="250"/>
    </row>
    <row r="22" customFormat="false" ht="15.75" hidden="false" customHeight="false" outlineLevel="0" collapsed="false">
      <c r="B22" s="229" t="s">
        <v>317</v>
      </c>
      <c r="D22" s="243"/>
      <c r="E22" s="243"/>
      <c r="F22" s="243"/>
      <c r="G22" s="243"/>
      <c r="H22" s="243"/>
      <c r="I22" s="243"/>
      <c r="J22" s="243"/>
      <c r="K22" s="250"/>
    </row>
    <row r="23" customFormat="false" ht="12.75" hidden="false" customHeight="false" outlineLevel="0" collapsed="false">
      <c r="B23" s="251" t="s">
        <v>318</v>
      </c>
      <c r="D23" s="243" t="n">
        <f aca="false">+'Corp I-S&amp;B-S'!J28</f>
        <v>414.37212</v>
      </c>
      <c r="E23" s="243" t="n">
        <f aca="false">+$D23*(E$26/$D$26)</f>
        <v>171.892385125411</v>
      </c>
      <c r="F23" s="243" t="n">
        <f aca="false">+$D23*(F$26/$D$26)</f>
        <v>25.3341675238227</v>
      </c>
      <c r="G23" s="245" t="s">
        <v>218</v>
      </c>
      <c r="H23" s="243" t="n">
        <f aca="false">+$D23*(H$26/$D$26)</f>
        <v>242.479734874589</v>
      </c>
      <c r="I23" s="243" t="n">
        <f aca="false">+$D23*(I$26/$D$26)</f>
        <v>146.646372050387</v>
      </c>
      <c r="J23" s="243" t="n">
        <f aca="false">+D23</f>
        <v>414.37212</v>
      </c>
      <c r="K23" s="250"/>
    </row>
    <row r="24" customFormat="false" ht="12.75" hidden="false" customHeight="false" outlineLevel="0" collapsed="false">
      <c r="B24" s="251" t="s">
        <v>319</v>
      </c>
      <c r="D24" s="243" t="n">
        <f aca="false">+'Corp I-S&amp;B-S'!J44</f>
        <v>1226.863</v>
      </c>
      <c r="E24" s="243" t="n">
        <f aca="false">+$D24*(E$26/$D$26)</f>
        <v>508.934836861413</v>
      </c>
      <c r="F24" s="243" t="n">
        <f aca="false">+$D24*(F$26/$D$26)</f>
        <v>75.0087934747631</v>
      </c>
      <c r="G24" s="243" t="n">
        <f aca="false">+'Sum of Parts-Slide'!D21</f>
        <v>101.728764863858</v>
      </c>
      <c r="H24" s="243" t="n">
        <f aca="false">+$D24*(H$26/$D$26)</f>
        <v>717.928163138588</v>
      </c>
      <c r="I24" s="243" t="n">
        <f aca="false">+$D24*(I$26/$D$26)</f>
        <v>434.187048956997</v>
      </c>
      <c r="J24" s="243" t="n">
        <f aca="false">+D24</f>
        <v>1226.863</v>
      </c>
      <c r="K24" s="250"/>
    </row>
    <row r="25" customFormat="false" ht="12.75" hidden="false" customHeight="false" outlineLevel="0" collapsed="false">
      <c r="B25" s="223" t="s">
        <v>320</v>
      </c>
      <c r="D25" s="243" t="n">
        <f aca="false">+'Corp I-S&amp;B-S'!N56</f>
        <v>2638.367</v>
      </c>
      <c r="E25" s="243" t="n">
        <f aca="false">+$D25*(E$26/$D$26)</f>
        <v>1094.46358617509</v>
      </c>
      <c r="F25" s="243" t="n">
        <f aca="false">+$D25*(F$26/$D$26)</f>
        <v>161.306295335038</v>
      </c>
      <c r="G25" s="243" t="n">
        <f aca="false">+$D25*(G26/$D$26)</f>
        <v>448.878535571055</v>
      </c>
      <c r="H25" s="243" t="n">
        <f aca="false">+$D25*(H$26/$D$26)</f>
        <v>1543.90341382491</v>
      </c>
      <c r="I25" s="243" t="n">
        <f aca="false">+$D25*(I$26/$D$26)</f>
        <v>933.718582918813</v>
      </c>
      <c r="J25" s="243" t="n">
        <f aca="false">+D25</f>
        <v>2638.367</v>
      </c>
    </row>
    <row r="26" customFormat="false" ht="15.75" hidden="false" customHeight="false" outlineLevel="0" collapsed="false">
      <c r="B26" s="251" t="s">
        <v>321</v>
      </c>
      <c r="D26" s="243" t="n">
        <f aca="false">+'Corp I-S&amp;B-S'!N20</f>
        <v>6168.418</v>
      </c>
      <c r="E26" s="243" t="n">
        <f aca="false">+'Tax Basis'!H7</f>
        <v>2558.821</v>
      </c>
      <c r="F26" s="243" t="n">
        <f aca="false">+'Tax Basis'!G7</f>
        <v>377.128980031194</v>
      </c>
      <c r="G26" s="243" t="n">
        <f aca="false">+'Tax Basis'!F7</f>
        <v>1049.463717</v>
      </c>
      <c r="H26" s="243" t="n">
        <f aca="false">+'Tax Basis'!D7</f>
        <v>3609.597</v>
      </c>
      <c r="I26" s="243" t="n">
        <f aca="false">+'Tax Basis'!E7</f>
        <v>2183.00430296881</v>
      </c>
      <c r="J26" s="243" t="n">
        <f aca="false">+D26</f>
        <v>6168.418</v>
      </c>
    </row>
    <row r="27" customFormat="false" ht="15.75" hidden="false" customHeight="false" outlineLevel="0" collapsed="false">
      <c r="B27" s="251" t="s">
        <v>322</v>
      </c>
      <c r="D27" s="243" t="n">
        <f aca="false">+'Sum of Parts-Slide'!D30+'Sum of Parts-Slide'!D36</f>
        <v>11289.25</v>
      </c>
      <c r="E27" s="243"/>
      <c r="F27" s="243"/>
      <c r="G27" s="243"/>
      <c r="H27" s="243" t="n">
        <f aca="false">'Sum of Parts-Slide'!D36</f>
        <v>1785.84</v>
      </c>
      <c r="I27" s="243" t="n">
        <f aca="false">'Sum of Parts-Slide'!D30</f>
        <v>9503.41</v>
      </c>
      <c r="J27" s="243" t="n">
        <f aca="false">+D27</f>
        <v>11289.25</v>
      </c>
    </row>
    <row r="28" customFormat="false" ht="12.75" hidden="false" customHeight="false" outlineLevel="0" collapsed="false">
      <c r="B28" s="251"/>
      <c r="D28" s="243"/>
      <c r="E28" s="243"/>
      <c r="F28" s="243"/>
      <c r="G28" s="243"/>
      <c r="H28" s="243"/>
      <c r="I28" s="243"/>
      <c r="J28" s="243"/>
    </row>
    <row r="29" customFormat="false" ht="15.75" hidden="false" customHeight="false" outlineLevel="0" collapsed="false">
      <c r="B29" s="252" t="s">
        <v>323</v>
      </c>
      <c r="D29" s="243"/>
      <c r="E29" s="243"/>
      <c r="F29" s="243"/>
      <c r="G29" s="243"/>
      <c r="H29" s="243"/>
      <c r="I29" s="243"/>
      <c r="J29" s="243"/>
    </row>
    <row r="30" customFormat="false" ht="15.75" hidden="false" customHeight="false" outlineLevel="0" collapsed="false">
      <c r="B30" s="236" t="s">
        <v>324</v>
      </c>
      <c r="D30" s="253" t="n">
        <f aca="false">+ABS(D14/D24)</f>
        <v>7.06757833596742</v>
      </c>
      <c r="E30" s="254" t="n">
        <f aca="false">+E14/E24</f>
        <v>2.75084332727891</v>
      </c>
      <c r="F30" s="254" t="n">
        <f aca="false">+F14/F24</f>
        <v>9.99882767414916</v>
      </c>
      <c r="G30" s="253" t="n">
        <f aca="false">+G14/G24</f>
        <v>15.7280981651675</v>
      </c>
      <c r="H30" s="254" t="n">
        <f aca="false">+H14/H24</f>
        <v>0.417869106413769</v>
      </c>
      <c r="I30" s="254" t="n">
        <f aca="false">+I14/I24</f>
        <v>12.8976670618166</v>
      </c>
      <c r="J30" s="253" t="n">
        <f aca="false">+ABS(J14/J24)</f>
        <v>7.86558890438459</v>
      </c>
    </row>
    <row r="31" customFormat="false" ht="12.75" hidden="false" customHeight="false" outlineLevel="0" collapsed="false">
      <c r="B31" s="223" t="s">
        <v>325</v>
      </c>
      <c r="D31" s="254" t="n">
        <f aca="false">ABS(D14/D26)</f>
        <v>1.40570083934001</v>
      </c>
      <c r="E31" s="253" t="n">
        <f aca="false">+E14/E26</f>
        <v>0.547126977619771</v>
      </c>
      <c r="F31" s="253" t="n">
        <f aca="false">+F14/F26</f>
        <v>1.98870953894332</v>
      </c>
      <c r="G31" s="254" t="n">
        <f aca="false">+G14/G26</f>
        <v>1.52458820069908</v>
      </c>
      <c r="H31" s="254" t="n">
        <f aca="false">+H14/H26</f>
        <v>0.0831117712032673</v>
      </c>
      <c r="I31" s="254" t="n">
        <f aca="false">+I14/I26</f>
        <v>2.56527208507295</v>
      </c>
      <c r="J31" s="254" t="n">
        <f aca="false">ABS(J14/J26)</f>
        <v>1.56442056942315</v>
      </c>
    </row>
    <row r="32" customFormat="false" ht="12.75" hidden="false" customHeight="false" outlineLevel="0" collapsed="false">
      <c r="B32" s="223" t="s">
        <v>326</v>
      </c>
      <c r="D32" s="254" t="n">
        <f aca="false">ABS(D12/D25)</f>
        <v>1.9411065102012</v>
      </c>
      <c r="E32" s="238" t="s">
        <v>218</v>
      </c>
      <c r="F32" s="238" t="s">
        <v>218</v>
      </c>
      <c r="G32" s="238" t="s">
        <v>218</v>
      </c>
      <c r="H32" s="238" t="s">
        <v>218</v>
      </c>
      <c r="I32" s="238" t="s">
        <v>218</v>
      </c>
      <c r="J32" s="254" t="n">
        <f aca="false">ABS(J12/J25)</f>
        <v>2.3121881830693</v>
      </c>
    </row>
    <row r="33" customFormat="false" ht="12.75" hidden="false" customHeight="false" outlineLevel="0" collapsed="false">
      <c r="B33" s="223" t="s">
        <v>327</v>
      </c>
      <c r="D33" s="253" t="n">
        <f aca="false">ABS(D12/D23)</f>
        <v>12.3593048682908</v>
      </c>
      <c r="E33" s="238" t="s">
        <v>218</v>
      </c>
      <c r="F33" s="238" t="s">
        <v>218</v>
      </c>
      <c r="G33" s="238" t="s">
        <v>218</v>
      </c>
      <c r="H33" s="238" t="s">
        <v>218</v>
      </c>
      <c r="I33" s="238" t="s">
        <v>218</v>
      </c>
      <c r="J33" s="253" t="n">
        <f aca="false">ABS(J12/J23)</f>
        <v>14.7220353531507</v>
      </c>
    </row>
    <row r="34" customFormat="false" ht="12.75" hidden="false" customHeight="false" outlineLevel="0" collapsed="false">
      <c r="B34" s="223" t="s">
        <v>328</v>
      </c>
      <c r="D34" s="245" t="s">
        <v>218</v>
      </c>
      <c r="E34" s="245" t="s">
        <v>218</v>
      </c>
      <c r="F34" s="245" t="s">
        <v>218</v>
      </c>
      <c r="G34" s="245" t="s">
        <v>218</v>
      </c>
      <c r="H34" s="255" t="n">
        <f aca="false">H14/H27*1000</f>
        <v>167.988173632576</v>
      </c>
      <c r="I34" s="255" t="n">
        <f aca="false">I14/I27*1000</f>
        <v>589.262170105257</v>
      </c>
      <c r="J34" s="245" t="s">
        <v>218</v>
      </c>
    </row>
    <row r="37" customFormat="false" ht="12.75" hidden="false" customHeight="false" outlineLevel="0" collapsed="false">
      <c r="A37" s="223" t="n">
        <v>1</v>
      </c>
      <c r="B37" s="236" t="s">
        <v>329</v>
      </c>
    </row>
    <row r="38" customFormat="false" ht="12.75" hidden="false" customHeight="false" outlineLevel="0" collapsed="false">
      <c r="A38" s="223" t="n">
        <v>2</v>
      </c>
      <c r="B38" s="236" t="s">
        <v>330</v>
      </c>
    </row>
    <row r="39" customFormat="false" ht="12.75" hidden="false" customHeight="false" outlineLevel="0" collapsed="false">
      <c r="A39" s="223" t="n">
        <v>3</v>
      </c>
      <c r="B39" s="223" t="s">
        <v>331</v>
      </c>
    </row>
    <row r="40" customFormat="false" ht="12.75" hidden="false" customHeight="false" outlineLevel="0" collapsed="false">
      <c r="A40" s="223" t="n">
        <v>4</v>
      </c>
      <c r="B40" s="3" t="s">
        <v>332</v>
      </c>
    </row>
    <row r="41" customFormat="false" ht="12.75" hidden="false" customHeight="false" outlineLevel="0" collapsed="false">
      <c r="A41" s="223" t="n">
        <v>5</v>
      </c>
      <c r="B41" s="223" t="s">
        <v>333</v>
      </c>
    </row>
    <row r="42" customFormat="false" ht="12.75" hidden="false" customHeight="false" outlineLevel="0" collapsed="false">
      <c r="A42" s="223" t="n">
        <v>6</v>
      </c>
      <c r="B42" s="236" t="s">
        <v>334</v>
      </c>
    </row>
    <row r="43" customFormat="false" ht="12.75" hidden="false" customHeight="false" outlineLevel="0" collapsed="false">
      <c r="A43" s="223" t="n">
        <v>7</v>
      </c>
      <c r="B43" s="223" t="s">
        <v>335</v>
      </c>
    </row>
    <row r="44" customFormat="false" ht="12.75" hidden="false" customHeight="false" outlineLevel="0" collapsed="false">
      <c r="A44" s="223" t="n">
        <v>8</v>
      </c>
      <c r="B44" s="223" t="s">
        <v>336</v>
      </c>
    </row>
    <row r="45" customFormat="false" ht="12.75" hidden="false" customHeight="false" outlineLevel="0" collapsed="false">
      <c r="A45" s="223" t="n">
        <v>9</v>
      </c>
      <c r="B45" s="223" t="s">
        <v>337</v>
      </c>
    </row>
    <row r="47" customFormat="false" ht="22.5" hidden="false" customHeight="false" outlineLevel="0" collapsed="false">
      <c r="L47" s="224" t="s">
        <v>338</v>
      </c>
    </row>
    <row r="48" customFormat="false" ht="15.75" hidden="false" customHeight="false" outlineLevel="0" collapsed="false">
      <c r="L48" s="225" t="s">
        <v>345</v>
      </c>
    </row>
    <row r="49" customFormat="false" ht="12.75" hidden="false" customHeight="false" outlineLevel="0" collapsed="false">
      <c r="L49" s="226" t="s">
        <v>289</v>
      </c>
    </row>
    <row r="51" customFormat="false" ht="12.75" hidden="false" customHeight="false" outlineLevel="0" collapsed="false">
      <c r="A51" s="256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 t="s">
        <v>339</v>
      </c>
      <c r="M51" s="257"/>
      <c r="N51" s="258" t="n">
        <v>0.1</v>
      </c>
      <c r="O51" s="258" t="n">
        <v>0.2</v>
      </c>
      <c r="P51" s="258" t="n">
        <v>0.3</v>
      </c>
      <c r="Q51" s="258" t="n">
        <v>0.4</v>
      </c>
      <c r="R51" s="258" t="n">
        <v>0.5</v>
      </c>
      <c r="S51" s="258" t="n">
        <v>0.6</v>
      </c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56"/>
      <c r="AX51" s="256"/>
      <c r="AY51" s="256"/>
      <c r="AZ51" s="256"/>
      <c r="BA51" s="256"/>
      <c r="BB51" s="256"/>
      <c r="BC51" s="256"/>
      <c r="BD51" s="256"/>
      <c r="BE51" s="256"/>
      <c r="BF51" s="256"/>
      <c r="BG51" s="256"/>
      <c r="BH51" s="256"/>
      <c r="BI51" s="256"/>
      <c r="BJ51" s="256"/>
      <c r="BK51" s="256"/>
      <c r="BL51" s="256"/>
      <c r="BM51" s="256"/>
      <c r="BN51" s="256"/>
      <c r="BO51" s="256"/>
      <c r="BP51" s="256"/>
      <c r="BQ51" s="256"/>
      <c r="BR51" s="256"/>
      <c r="BS51" s="256"/>
      <c r="BT51" s="256"/>
      <c r="BU51" s="256"/>
      <c r="BV51" s="256"/>
      <c r="BW51" s="256"/>
      <c r="BX51" s="256"/>
      <c r="BY51" s="256"/>
      <c r="BZ51" s="256"/>
      <c r="CA51" s="256"/>
      <c r="CB51" s="256"/>
      <c r="CC51" s="256"/>
      <c r="CD51" s="256"/>
      <c r="CE51" s="256"/>
      <c r="CF51" s="256"/>
      <c r="CG51" s="256"/>
      <c r="CH51" s="256"/>
      <c r="CI51" s="256"/>
      <c r="CJ51" s="256"/>
      <c r="CK51" s="256"/>
      <c r="CL51" s="256"/>
      <c r="CM51" s="256"/>
      <c r="CN51" s="256"/>
      <c r="CO51" s="256"/>
      <c r="CP51" s="256"/>
      <c r="CQ51" s="256"/>
      <c r="CR51" s="256"/>
      <c r="CS51" s="256"/>
      <c r="CT51" s="256"/>
      <c r="CU51" s="256"/>
      <c r="CV51" s="256"/>
      <c r="CW51" s="256"/>
      <c r="CX51" s="256"/>
      <c r="CY51" s="256"/>
      <c r="CZ51" s="256"/>
      <c r="DA51" s="256"/>
      <c r="DB51" s="256"/>
      <c r="DC51" s="256"/>
      <c r="DD51" s="256"/>
      <c r="DE51" s="256"/>
      <c r="DF51" s="256"/>
      <c r="DG51" s="256"/>
      <c r="DH51" s="256"/>
      <c r="DI51" s="256"/>
      <c r="DJ51" s="256"/>
      <c r="DK51" s="256"/>
      <c r="DL51" s="256"/>
      <c r="DM51" s="256"/>
      <c r="DN51" s="256"/>
      <c r="DO51" s="256"/>
      <c r="DP51" s="256"/>
      <c r="DQ51" s="256"/>
      <c r="DR51" s="256"/>
      <c r="DS51" s="256"/>
      <c r="DT51" s="256"/>
      <c r="DU51" s="256"/>
      <c r="DV51" s="256"/>
      <c r="DW51" s="256"/>
      <c r="DX51" s="256"/>
      <c r="DY51" s="256"/>
      <c r="DZ51" s="256"/>
      <c r="EA51" s="256"/>
      <c r="EB51" s="256"/>
      <c r="EC51" s="256"/>
      <c r="ED51" s="256"/>
      <c r="EE51" s="256"/>
      <c r="EF51" s="256"/>
      <c r="EG51" s="256"/>
      <c r="EH51" s="256"/>
      <c r="EI51" s="256"/>
      <c r="EJ51" s="256"/>
      <c r="EK51" s="256"/>
      <c r="EL51" s="256"/>
      <c r="EM51" s="256"/>
      <c r="EN51" s="256"/>
      <c r="EO51" s="256"/>
      <c r="EP51" s="256"/>
      <c r="EQ51" s="256"/>
      <c r="ER51" s="256"/>
      <c r="ES51" s="256"/>
      <c r="ET51" s="256"/>
      <c r="EU51" s="256"/>
      <c r="EV51" s="256"/>
      <c r="EW51" s="256"/>
      <c r="EX51" s="256"/>
      <c r="EY51" s="256"/>
      <c r="EZ51" s="256"/>
      <c r="FA51" s="256"/>
      <c r="FB51" s="256"/>
      <c r="FC51" s="256"/>
      <c r="FD51" s="256"/>
      <c r="FE51" s="256"/>
      <c r="FF51" s="256"/>
      <c r="FG51" s="256"/>
      <c r="FH51" s="256"/>
      <c r="FI51" s="256"/>
      <c r="FJ51" s="256"/>
      <c r="FK51" s="256"/>
      <c r="FL51" s="256"/>
      <c r="FM51" s="256"/>
      <c r="FN51" s="256"/>
      <c r="FO51" s="256"/>
      <c r="FP51" s="256"/>
      <c r="FQ51" s="256"/>
      <c r="FR51" s="256"/>
      <c r="FS51" s="256"/>
      <c r="FT51" s="256"/>
      <c r="FU51" s="256"/>
      <c r="FV51" s="256"/>
      <c r="FW51" s="256"/>
      <c r="FX51" s="256"/>
      <c r="FY51" s="256"/>
      <c r="FZ51" s="256"/>
      <c r="GA51" s="256"/>
      <c r="GB51" s="256"/>
      <c r="GC51" s="256"/>
      <c r="GD51" s="256"/>
      <c r="GE51" s="256"/>
      <c r="GF51" s="256"/>
      <c r="GG51" s="256"/>
      <c r="GH51" s="256"/>
      <c r="GI51" s="256"/>
      <c r="GJ51" s="256"/>
      <c r="GK51" s="256"/>
      <c r="GL51" s="256"/>
      <c r="GM51" s="256"/>
      <c r="GN51" s="256"/>
      <c r="GO51" s="256"/>
      <c r="GP51" s="256"/>
      <c r="GQ51" s="256"/>
      <c r="GR51" s="256"/>
      <c r="GS51" s="256"/>
      <c r="GT51" s="256"/>
      <c r="GU51" s="256"/>
      <c r="GV51" s="256"/>
      <c r="GW51" s="256"/>
      <c r="GX51" s="256"/>
      <c r="GY51" s="256"/>
      <c r="GZ51" s="256"/>
      <c r="HA51" s="256"/>
      <c r="HB51" s="256"/>
      <c r="HC51" s="256"/>
      <c r="HD51" s="256"/>
      <c r="HE51" s="256"/>
      <c r="HF51" s="256"/>
      <c r="HG51" s="256"/>
      <c r="HH51" s="256"/>
      <c r="HI51" s="256"/>
      <c r="HJ51" s="256"/>
      <c r="HK51" s="256"/>
      <c r="HL51" s="256"/>
      <c r="HM51" s="256"/>
      <c r="HN51" s="256"/>
      <c r="HO51" s="256"/>
      <c r="HP51" s="256"/>
      <c r="HQ51" s="256"/>
      <c r="HR51" s="256"/>
      <c r="HS51" s="256"/>
      <c r="HT51" s="256"/>
      <c r="HU51" s="256"/>
      <c r="HV51" s="256"/>
      <c r="HW51" s="256"/>
      <c r="HX51" s="256"/>
      <c r="HY51" s="256"/>
      <c r="HZ51" s="256"/>
      <c r="IA51" s="256"/>
      <c r="IB51" s="256"/>
      <c r="IC51" s="256"/>
      <c r="ID51" s="256"/>
      <c r="IE51" s="256"/>
      <c r="IF51" s="256"/>
      <c r="IG51" s="256"/>
      <c r="IH51" s="256"/>
      <c r="II51" s="256"/>
      <c r="IJ51" s="256"/>
      <c r="IK51" s="256"/>
      <c r="IL51" s="256"/>
      <c r="IM51" s="256"/>
      <c r="IN51" s="256"/>
      <c r="IO51" s="256"/>
      <c r="IP51" s="256"/>
      <c r="IQ51" s="256"/>
      <c r="IR51" s="256"/>
      <c r="IS51" s="256"/>
      <c r="IT51" s="256"/>
      <c r="IU51" s="256"/>
      <c r="IV51" s="256"/>
      <c r="IW51" s="256"/>
    </row>
    <row r="52" customFormat="false" ht="12.75" hidden="false" customHeight="false" outlineLevel="0" collapsed="false">
      <c r="L52" s="223" t="str">
        <f aca="false">+B12</f>
        <v>Equity Value</v>
      </c>
      <c r="M52" s="257" t="n">
        <f aca="false">-D12</f>
        <v>5121.35136</v>
      </c>
      <c r="N52" s="243" t="n">
        <f aca="false">+$D$8*(1+N51)*$D$11</f>
        <v>3755.657664</v>
      </c>
      <c r="O52" s="243" t="n">
        <f aca="false">+$D$8*(1+O51)*$D$11</f>
        <v>4097.081088</v>
      </c>
      <c r="P52" s="243" t="n">
        <f aca="false">+$D$8*(1+P51)*$D$11</f>
        <v>4438.504512</v>
      </c>
      <c r="Q52" s="243" t="n">
        <f aca="false">+$D$8*(1+Q51)*$D$11</f>
        <v>4779.927936</v>
      </c>
      <c r="R52" s="243" t="n">
        <f aca="false">+$D$8*(1+R51)*$D$11</f>
        <v>5121.35136</v>
      </c>
      <c r="S52" s="243" t="n">
        <f aca="false">+$D$8*(1+S51)*$D$11</f>
        <v>5462.774784</v>
      </c>
    </row>
    <row r="53" customFormat="false" ht="12.75" hidden="false" customHeight="false" outlineLevel="0" collapsed="false">
      <c r="L53" s="223" t="s">
        <v>259</v>
      </c>
      <c r="M53" s="257" t="n">
        <f aca="false">+M52-$D$13</f>
        <v>8670.95036</v>
      </c>
      <c r="N53" s="240" t="n">
        <f aca="false">+N52-$D$13</f>
        <v>7305.256664</v>
      </c>
      <c r="O53" s="237" t="n">
        <f aca="false">+O52-$D$13</f>
        <v>7646.680088</v>
      </c>
      <c r="P53" s="237" t="n">
        <f aca="false">+P52-$D$13</f>
        <v>7988.103512</v>
      </c>
      <c r="Q53" s="237" t="n">
        <f aca="false">+Q52-$D$13</f>
        <v>8329.526936</v>
      </c>
      <c r="R53" s="237" t="n">
        <f aca="false">+R52-$D$13</f>
        <v>8670.95036</v>
      </c>
      <c r="S53" s="237" t="n">
        <f aca="false">+S52-$D$13</f>
        <v>9012.373784</v>
      </c>
    </row>
    <row r="54" customFormat="false" ht="12.75" hidden="false" customHeight="false" outlineLevel="0" collapsed="false">
      <c r="M54" s="257"/>
      <c r="O54" s="259"/>
      <c r="P54" s="259"/>
      <c r="Q54" s="259"/>
      <c r="R54" s="259"/>
      <c r="S54" s="259"/>
    </row>
    <row r="55" customFormat="false" ht="12.75" hidden="false" customHeight="false" outlineLevel="0" collapsed="false">
      <c r="L55" s="256" t="s">
        <v>340</v>
      </c>
      <c r="M55" s="257"/>
    </row>
    <row r="56" customFormat="false" ht="12.75" hidden="false" customHeight="false" outlineLevel="0" collapsed="false">
      <c r="L56" s="236" t="s">
        <v>341</v>
      </c>
      <c r="M56" s="257"/>
      <c r="N56" s="260" t="n">
        <f aca="false">N53/$D$24</f>
        <v>5.95441924974508</v>
      </c>
      <c r="O56" s="260" t="n">
        <f aca="false">O53/$D$24</f>
        <v>6.23270902130067</v>
      </c>
      <c r="P56" s="260" t="n">
        <f aca="false">P53/$D$24</f>
        <v>6.51099879285625</v>
      </c>
      <c r="Q56" s="260" t="n">
        <f aca="false">Q53/$D$24</f>
        <v>6.78928856441184</v>
      </c>
      <c r="R56" s="260" t="n">
        <f aca="false">R53/$D$24</f>
        <v>7.06757833596742</v>
      </c>
      <c r="S56" s="260" t="n">
        <f aca="false">S53/$D$24</f>
        <v>7.34586810752301</v>
      </c>
    </row>
    <row r="57" customFormat="false" ht="12.75" hidden="false" customHeight="false" outlineLevel="0" collapsed="false">
      <c r="L57" s="223" t="s">
        <v>325</v>
      </c>
      <c r="M57" s="257"/>
      <c r="N57" s="260" t="n">
        <f aca="false">+N53/$D$26</f>
        <v>1.18429987461939</v>
      </c>
      <c r="O57" s="260" t="n">
        <f aca="false">+O53/$D$26</f>
        <v>1.23965011579955</v>
      </c>
      <c r="P57" s="260" t="n">
        <f aca="false">+P53/$D$26</f>
        <v>1.2950003569797</v>
      </c>
      <c r="Q57" s="260" t="n">
        <f aca="false">+Q53/$D$26</f>
        <v>1.35035059815985</v>
      </c>
      <c r="R57" s="260" t="n">
        <f aca="false">+R53/$D$26</f>
        <v>1.40570083934001</v>
      </c>
      <c r="S57" s="260" t="n">
        <f aca="false">+S53/$D$26</f>
        <v>1.46105108052016</v>
      </c>
    </row>
    <row r="58" customFormat="false" ht="12.75" hidden="false" customHeight="false" outlineLevel="0" collapsed="false">
      <c r="L58" s="223" t="s">
        <v>326</v>
      </c>
      <c r="M58" s="257"/>
      <c r="N58" s="260" t="n">
        <f aca="false">+N52/$D$25</f>
        <v>1.42347810748088</v>
      </c>
      <c r="O58" s="260" t="n">
        <f aca="false">+O52/$D$25</f>
        <v>1.55288520816096</v>
      </c>
      <c r="P58" s="260" t="n">
        <f aca="false">+P52/$D$25</f>
        <v>1.68229230884104</v>
      </c>
      <c r="Q58" s="260" t="n">
        <f aca="false">+Q52/$D$25</f>
        <v>1.81169940952112</v>
      </c>
      <c r="R58" s="260" t="n">
        <f aca="false">+R52/$D$25</f>
        <v>1.9411065102012</v>
      </c>
      <c r="S58" s="260" t="n">
        <f aca="false">+S52/$D$25</f>
        <v>2.07051361088128</v>
      </c>
    </row>
    <row r="59" customFormat="false" ht="12.75" hidden="false" customHeight="false" outlineLevel="0" collapsed="false">
      <c r="L59" s="223" t="s">
        <v>327</v>
      </c>
      <c r="M59" s="257"/>
      <c r="N59" s="260" t="n">
        <f aca="false">N52/$D$23</f>
        <v>9.06349023674662</v>
      </c>
      <c r="O59" s="260" t="n">
        <f aca="false">O52/$D$23</f>
        <v>9.88744389463268</v>
      </c>
      <c r="P59" s="260" t="n">
        <f aca="false">P52/$D$23</f>
        <v>10.7113975525187</v>
      </c>
      <c r="Q59" s="260" t="n">
        <f aca="false">Q52/$D$23</f>
        <v>11.5353512104048</v>
      </c>
      <c r="R59" s="260" t="n">
        <f aca="false">R52/$D$23</f>
        <v>12.3593048682908</v>
      </c>
      <c r="S59" s="260" t="n">
        <f aca="false">S52/$D$23</f>
        <v>13.1832585261769</v>
      </c>
    </row>
    <row r="60" customFormat="false" ht="12.75" hidden="false" customHeight="false" outlineLevel="0" collapsed="false">
      <c r="M60" s="257"/>
      <c r="N60" s="267" t="n">
        <f aca="false">N51</f>
        <v>0.1</v>
      </c>
      <c r="O60" s="267" t="n">
        <f aca="false">O51</f>
        <v>0.2</v>
      </c>
      <c r="P60" s="267" t="n">
        <f aca="false">P51</f>
        <v>0.3</v>
      </c>
      <c r="Q60" s="267" t="n">
        <f aca="false">Q51</f>
        <v>0.4</v>
      </c>
      <c r="R60" s="267" t="n">
        <f aca="false">R51</f>
        <v>0.5</v>
      </c>
      <c r="S60" s="267" t="n">
        <f aca="false">S51</f>
        <v>0.6</v>
      </c>
    </row>
    <row r="61" customFormat="false" ht="12.75" hidden="true" customHeight="false" outlineLevel="0" collapsed="false">
      <c r="L61" s="223" t="s">
        <v>342</v>
      </c>
      <c r="M61" s="257"/>
      <c r="N61" s="259" t="str">
        <f aca="true">TABLE($M61,$D$9,N$60)</f>
        <v/>
      </c>
      <c r="O61" s="259" t="str">
        <f aca="true">TABLE($M61,$D$9,O$60)</f>
        <v/>
      </c>
      <c r="P61" s="259" t="str">
        <f aca="true">TABLE($M61,$D$9,P$60)</f>
        <v/>
      </c>
      <c r="Q61" s="259" t="str">
        <f aca="true">TABLE($M61,$D$9,Q$60)</f>
        <v/>
      </c>
      <c r="R61" s="259" t="str">
        <f aca="true">TABLE($M61,$D$9,R$60)</f>
        <v/>
      </c>
      <c r="S61" s="259" t="str">
        <f aca="true">TABLE($M61,$D$9,S$60)</f>
        <v/>
      </c>
    </row>
    <row r="62" customFormat="false" ht="12.75" hidden="false" customHeight="false" outlineLevel="0" collapsed="false">
      <c r="L62" s="261" t="s">
        <v>343</v>
      </c>
      <c r="M62" s="257" t="n">
        <f aca="false">+K19</f>
        <v>-836.555548928335</v>
      </c>
      <c r="N62" s="262" t="n">
        <f aca="true">TABLE($M62,$D$9,N$60)</f>
        <v>-836.555548928335</v>
      </c>
      <c r="O62" s="262" t="n">
        <f aca="true">TABLE($M62,$D$9,O$60)</f>
        <v>-836.555548928335</v>
      </c>
      <c r="P62" s="262" t="n">
        <f aca="true">TABLE($M62,$D$9,P$60)</f>
        <v>-836.555548928335</v>
      </c>
      <c r="Q62" s="262" t="n">
        <f aca="true">TABLE($M62,$D$9,Q$60)</f>
        <v>-836.555548928335</v>
      </c>
      <c r="R62" s="262" t="n">
        <f aca="true">TABLE($M62,$D$9,R$60)</f>
        <v>-836.555548928335</v>
      </c>
      <c r="S62" s="262" t="n">
        <f aca="true">TABLE($M62,$D$9,S$60)</f>
        <v>-836.555548928335</v>
      </c>
    </row>
    <row r="63" customFormat="false" ht="12.75" hidden="true" customHeight="false" outlineLevel="0" collapsed="false">
      <c r="L63" s="261" t="s">
        <v>342</v>
      </c>
      <c r="M63" s="263"/>
      <c r="N63" s="264" t="str">
        <f aca="true">TABLE($M63,$D$9,N$60)</f>
        <v/>
      </c>
      <c r="O63" s="264" t="str">
        <f aca="true">TABLE($M63,$D$9,O$60)</f>
        <v/>
      </c>
      <c r="P63" s="264" t="str">
        <f aca="true">TABLE($M63,$D$9,P$60)</f>
        <v/>
      </c>
      <c r="Q63" s="264" t="str">
        <f aca="true">TABLE($M63,$D$9,Q$60)</f>
        <v/>
      </c>
      <c r="R63" s="264" t="str">
        <f aca="true">TABLE($M63,$D$9,R$60)</f>
        <v/>
      </c>
      <c r="S63" s="264" t="str">
        <f aca="true">TABLE($M63,$D$9,S$60)</f>
        <v/>
      </c>
    </row>
    <row r="64" customFormat="false" ht="12.75" hidden="false" customHeight="false" outlineLevel="0" collapsed="false">
      <c r="L64" s="223" t="s">
        <v>344</v>
      </c>
      <c r="M64" s="257" t="n">
        <f aca="false">+K20</f>
        <v>142.494091071665</v>
      </c>
      <c r="N64" s="262" t="n">
        <f aca="true">TABLE($M64,$D$9,N$60)</f>
        <v>1508.18778707167</v>
      </c>
      <c r="O64" s="262" t="n">
        <f aca="true">TABLE($M64,$D$9,O$60)</f>
        <v>1166.76436307166</v>
      </c>
      <c r="P64" s="262" t="n">
        <f aca="true">TABLE($M64,$D$9,P$60)</f>
        <v>825.340939071665</v>
      </c>
      <c r="Q64" s="262" t="n">
        <f aca="true">TABLE($M64,$D$9,Q$60)</f>
        <v>483.917515071665</v>
      </c>
      <c r="R64" s="262" t="n">
        <f aca="true">TABLE($M64,$D$9,R$60)</f>
        <v>142.494091071665</v>
      </c>
      <c r="S64" s="262" t="n">
        <f aca="true">TABLE($M64,$D$9,S$60)</f>
        <v>-198.929332928336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&amp;L&amp;P&amp;C&amp;D&amp;T&amp;R&amp;F</oddFooter>
  </headerFooter>
  <rowBreaks count="1" manualBreakCount="1">
    <brk id="47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9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50" workbookViewId="0">
      <selection pane="topLeft" activeCell="D42" activeCellId="0" sqref="D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2.28"/>
    <col collapsed="false" customWidth="true" hidden="false" outlineLevel="0" max="2" min="2" style="3" width="51.14"/>
    <col collapsed="false" customWidth="true" hidden="false" outlineLevel="0" max="3" min="3" style="3" width="26.28"/>
    <col collapsed="false" customWidth="true" hidden="false" outlineLevel="0" max="4" min="4" style="3" width="12.56"/>
    <col collapsed="false" customWidth="true" hidden="false" outlineLevel="0" max="5" min="5" style="3" width="10.28"/>
    <col collapsed="false" customWidth="true" hidden="false" outlineLevel="0" max="6" min="6" style="3" width="11.7"/>
    <col collapsed="false" customWidth="true" hidden="false" outlineLevel="0" max="7" min="7" style="3" width="10.85"/>
    <col collapsed="false" customWidth="true" hidden="false" outlineLevel="0" max="8" min="8" style="3" width="12.14"/>
    <col collapsed="false" customWidth="true" hidden="true" outlineLevel="0" max="9" min="9" style="3" width="1.13"/>
    <col collapsed="false" customWidth="true" hidden="false" outlineLevel="0" max="10" min="10" style="3" width="4.14"/>
    <col collapsed="false" customWidth="true" hidden="false" outlineLevel="0" max="11" min="11" style="3" width="27.28"/>
    <col collapsed="false" customWidth="false" hidden="false" outlineLevel="0" max="257" min="12" style="3" width="9.14"/>
  </cols>
  <sheetData>
    <row r="1" customFormat="false" ht="18.75" hidden="false" customHeight="false" outlineLevel="0" collapsed="false">
      <c r="B1" s="69" t="s">
        <v>346</v>
      </c>
    </row>
    <row r="2" customFormat="false" ht="12.75" hidden="false" customHeight="false" outlineLevel="0" collapsed="false">
      <c r="B2" s="70" t="s">
        <v>122</v>
      </c>
      <c r="C2" s="5" t="s">
        <v>243</v>
      </c>
    </row>
    <row r="3" customFormat="false" ht="12.75" hidden="false" customHeight="false" outlineLevel="0" collapsed="false">
      <c r="B3" s="3" t="n">
        <v>1</v>
      </c>
      <c r="C3" s="3" t="s">
        <v>244</v>
      </c>
    </row>
    <row r="4" customFormat="false" ht="12.75" hidden="false" customHeight="false" outlineLevel="0" collapsed="false">
      <c r="B4" s="3" t="n">
        <v>2</v>
      </c>
      <c r="C4" s="3" t="s">
        <v>245</v>
      </c>
    </row>
    <row r="5" customFormat="false" ht="12.75" hidden="false" customHeight="false" outlineLevel="0" collapsed="false">
      <c r="B5" s="3" t="n">
        <v>3</v>
      </c>
      <c r="C5" s="3" t="s">
        <v>246</v>
      </c>
    </row>
    <row r="6" customFormat="false" ht="12.75" hidden="false" customHeight="false" outlineLevel="0" collapsed="false">
      <c r="B6" s="3" t="n">
        <v>4</v>
      </c>
      <c r="C6" s="3" t="s">
        <v>347</v>
      </c>
    </row>
    <row r="7" customFormat="false" ht="12.75" hidden="false" customHeight="false" outlineLevel="0" collapsed="false">
      <c r="B7" s="3" t="n">
        <v>5</v>
      </c>
      <c r="C7" s="3" t="s">
        <v>348</v>
      </c>
    </row>
    <row r="8" customFormat="false" ht="12.75" hidden="false" customHeight="false" outlineLevel="0" collapsed="false">
      <c r="B8" s="3" t="n">
        <v>6</v>
      </c>
      <c r="C8" s="3" t="s">
        <v>349</v>
      </c>
    </row>
    <row r="11" customFormat="false" ht="12.75" hidden="false" customHeight="false" outlineLevel="0" collapsed="false">
      <c r="G11" s="200"/>
      <c r="H11" s="200"/>
      <c r="J11" s="200"/>
      <c r="L11" s="3" t="s">
        <v>350</v>
      </c>
    </row>
    <row r="12" customFormat="false" ht="12.75" hidden="false" customHeight="false" outlineLevel="0" collapsed="false">
      <c r="B12" s="3" t="s">
        <v>351</v>
      </c>
      <c r="C12" s="3" t="s">
        <v>251</v>
      </c>
      <c r="F12" s="201" t="n">
        <f aca="false">+'accretion-dilutionIQ'!D6</f>
        <v>21.4375</v>
      </c>
      <c r="H12" s="200"/>
      <c r="J12" s="200"/>
    </row>
    <row r="13" customFormat="false" ht="12.75" hidden="false" customHeight="false" outlineLevel="0" collapsed="false">
      <c r="B13" s="3" t="s">
        <v>250</v>
      </c>
      <c r="C13" s="3" t="s">
        <v>252</v>
      </c>
      <c r="F13" s="202" t="n">
        <v>0.5</v>
      </c>
      <c r="H13" s="200"/>
      <c r="J13" s="200"/>
    </row>
    <row r="14" customFormat="false" ht="12.75" hidden="false" customHeight="false" outlineLevel="0" collapsed="false">
      <c r="C14" s="3" t="s">
        <v>253</v>
      </c>
      <c r="F14" s="201" t="n">
        <f aca="false">+F12*(1+F13)</f>
        <v>32.15625</v>
      </c>
      <c r="H14" s="200"/>
      <c r="J14" s="200"/>
    </row>
    <row r="15" customFormat="false" ht="12.75" hidden="false" customHeight="false" outlineLevel="0" collapsed="false">
      <c r="C15" s="3" t="s">
        <v>254</v>
      </c>
      <c r="F15" s="203" t="n">
        <f aca="false">+'Corp I-S&amp;B-S'!J41</f>
        <v>159.246</v>
      </c>
      <c r="H15" s="200"/>
      <c r="J15" s="200"/>
    </row>
    <row r="16" customFormat="false" ht="12.75" hidden="false" customHeight="false" outlineLevel="0" collapsed="false">
      <c r="C16" s="3" t="s">
        <v>255</v>
      </c>
      <c r="F16" s="205" t="n">
        <f aca="false">+F15*F14</f>
        <v>5120.7541875</v>
      </c>
      <c r="H16" s="205"/>
      <c r="I16" s="206"/>
      <c r="K16" s="206"/>
    </row>
    <row r="17" customFormat="false" ht="12.75" hidden="false" customHeight="false" outlineLevel="0" collapsed="false">
      <c r="C17" s="3" t="s">
        <v>258</v>
      </c>
      <c r="F17" s="205" t="n">
        <f aca="false">+'Corp I-S&amp;B-S'!$C$71</f>
        <v>3549.599</v>
      </c>
      <c r="H17" s="205"/>
      <c r="J17" s="209"/>
    </row>
    <row r="18" customFormat="false" ht="12.75" hidden="false" customHeight="false" outlineLevel="0" collapsed="false">
      <c r="C18" s="3" t="s">
        <v>259</v>
      </c>
      <c r="F18" s="268" t="n">
        <f aca="false">+F17+F16</f>
        <v>8670.3531875</v>
      </c>
      <c r="H18" s="205"/>
      <c r="J18" s="209"/>
    </row>
    <row r="19" customFormat="false" ht="12.75" hidden="false" customHeight="false" outlineLevel="0" collapsed="false">
      <c r="G19" s="268"/>
      <c r="H19" s="205"/>
      <c r="J19" s="209"/>
    </row>
    <row r="20" customFormat="false" ht="12.75" hidden="false" customHeight="false" outlineLevel="0" collapsed="false">
      <c r="E20" s="144" t="s">
        <v>260</v>
      </c>
      <c r="F20" s="144"/>
      <c r="G20" s="144" t="s">
        <v>261</v>
      </c>
      <c r="I20" s="144"/>
      <c r="J20" s="211"/>
      <c r="K20" s="5" t="s">
        <v>262</v>
      </c>
    </row>
    <row r="21" customFormat="false" ht="12.75" hidden="false" customHeight="false" outlineLevel="0" collapsed="false">
      <c r="E21" s="144" t="s">
        <v>352</v>
      </c>
      <c r="F21" s="144"/>
      <c r="G21" s="144" t="s">
        <v>352</v>
      </c>
      <c r="I21" s="144"/>
      <c r="J21" s="211"/>
      <c r="K21" s="5"/>
    </row>
    <row r="22" customFormat="false" ht="12.75" hidden="false" customHeight="false" outlineLevel="0" collapsed="false">
      <c r="E22" s="144"/>
      <c r="F22" s="144"/>
      <c r="G22" s="144"/>
      <c r="I22" s="144"/>
      <c r="J22" s="211"/>
      <c r="K22" s="5"/>
    </row>
    <row r="23" customFormat="false" ht="12.75" hidden="false" customHeight="false" outlineLevel="0" collapsed="false">
      <c r="A23" s="3" t="n">
        <v>2</v>
      </c>
      <c r="B23" s="3" t="str">
        <f aca="false">C4</f>
        <v>Sell PSI (entire Utility)</v>
      </c>
      <c r="C23" s="3" t="s">
        <v>259</v>
      </c>
      <c r="E23" s="212" t="n">
        <f aca="false">+'Sum of Parts-Slide'!M11</f>
        <v>1400</v>
      </c>
      <c r="F23" s="206"/>
      <c r="G23" s="212" t="n">
        <f aca="false">+'Sum of Parts-Slide'!O11</f>
        <v>1550</v>
      </c>
      <c r="I23" s="206"/>
      <c r="J23" s="211"/>
    </row>
    <row r="24" customFormat="false" ht="12.75" hidden="false" customHeight="false" outlineLevel="0" collapsed="false">
      <c r="B24" s="3" t="s">
        <v>264</v>
      </c>
      <c r="C24" s="3" t="s">
        <v>265</v>
      </c>
      <c r="E24" s="212" t="n">
        <f aca="false">+'Tax Basis'!$F$9+'Tax Basis'!$J$9</f>
        <v>1061.45521742728</v>
      </c>
      <c r="G24" s="212" t="n">
        <f aca="false">+'Tax Basis'!$F$9+'Tax Basis'!$J$9</f>
        <v>1061.45521742728</v>
      </c>
      <c r="J24" s="211"/>
    </row>
    <row r="25" customFormat="false" ht="12.75" hidden="false" customHeight="false" outlineLevel="0" collapsed="false">
      <c r="B25" s="3" t="s">
        <v>267</v>
      </c>
      <c r="C25" s="3" t="s">
        <v>268</v>
      </c>
      <c r="E25" s="212" t="n">
        <f aca="false">+E23-E24</f>
        <v>338.544782572719</v>
      </c>
      <c r="G25" s="212" t="n">
        <f aca="false">+G23-G24</f>
        <v>488.544782572719</v>
      </c>
    </row>
    <row r="26" customFormat="false" ht="12.75" hidden="false" customHeight="false" outlineLevel="0" collapsed="false">
      <c r="C26" s="3" t="s">
        <v>269</v>
      </c>
      <c r="D26" s="200" t="n">
        <v>0.385</v>
      </c>
      <c r="E26" s="212" t="n">
        <f aca="false">+E25*$D$33</f>
        <v>130.339741290497</v>
      </c>
      <c r="F26" s="206"/>
      <c r="G26" s="212" t="n">
        <f aca="false">+G25*$D$33</f>
        <v>188.089741290497</v>
      </c>
      <c r="I26" s="206"/>
    </row>
    <row r="27" customFormat="false" ht="12.75" hidden="false" customHeight="false" outlineLevel="0" collapsed="false">
      <c r="C27" s="3" t="s">
        <v>270</v>
      </c>
      <c r="E27" s="212" t="n">
        <f aca="false">+E23-E26</f>
        <v>1269.6602587095</v>
      </c>
      <c r="F27" s="206"/>
      <c r="G27" s="212" t="n">
        <f aca="false">+G23-G26</f>
        <v>1361.9102587095</v>
      </c>
      <c r="I27" s="206"/>
      <c r="J27" s="211"/>
      <c r="K27" s="206"/>
    </row>
    <row r="28" customFormat="false" ht="12.75" hidden="false" customHeight="false" outlineLevel="0" collapsed="false">
      <c r="E28" s="212"/>
      <c r="F28" s="206"/>
      <c r="G28" s="206"/>
      <c r="H28" s="212"/>
      <c r="I28" s="206"/>
      <c r="J28" s="211"/>
      <c r="K28" s="206"/>
    </row>
    <row r="29" customFormat="false" ht="12.75" hidden="false" customHeight="false" outlineLevel="0" collapsed="false">
      <c r="E29" s="212"/>
      <c r="F29" s="206"/>
      <c r="G29" s="206"/>
      <c r="H29" s="212"/>
      <c r="I29" s="206"/>
      <c r="J29" s="211"/>
      <c r="K29" s="206"/>
    </row>
    <row r="30" customFormat="false" ht="12.75" hidden="false" customHeight="false" outlineLevel="0" collapsed="false">
      <c r="A30" s="3" t="n">
        <v>3</v>
      </c>
      <c r="B30" s="3" t="str">
        <f aca="false">C5</f>
        <v>Sell CG&amp;E Gas (LDC)</v>
      </c>
      <c r="C30" s="3" t="s">
        <v>259</v>
      </c>
      <c r="E30" s="212" t="n">
        <f aca="false">'Sum of Parts-Slide'!M21</f>
        <v>750</v>
      </c>
      <c r="F30" s="206"/>
      <c r="G30" s="212" t="n">
        <f aca="false">'Sum of Parts-Slide'!O21</f>
        <v>900</v>
      </c>
      <c r="I30" s="206"/>
      <c r="J30" s="213"/>
      <c r="K30" s="206"/>
    </row>
    <row r="31" customFormat="false" ht="12.75" hidden="false" customHeight="false" outlineLevel="0" collapsed="false">
      <c r="B31" s="3" t="s">
        <v>264</v>
      </c>
      <c r="C31" s="3" t="s">
        <v>265</v>
      </c>
      <c r="E31" s="212" t="n">
        <f aca="false">+'Tax Basis'!$G$9</f>
        <v>159.078386145647</v>
      </c>
      <c r="G31" s="212" t="n">
        <f aca="false">+'Tax Basis'!$G$9</f>
        <v>159.078386145647</v>
      </c>
      <c r="J31" s="211"/>
    </row>
    <row r="32" customFormat="false" ht="12.75" hidden="false" customHeight="false" outlineLevel="0" collapsed="false">
      <c r="B32" s="3" t="s">
        <v>267</v>
      </c>
      <c r="C32" s="3" t="s">
        <v>268</v>
      </c>
      <c r="E32" s="212" t="n">
        <f aca="false">+E30-E31</f>
        <v>590.921613854353</v>
      </c>
      <c r="G32" s="212" t="n">
        <f aca="false">+G30-G31</f>
        <v>740.921613854353</v>
      </c>
      <c r="J32" s="211"/>
    </row>
    <row r="33" customFormat="false" ht="12.75" hidden="false" customHeight="false" outlineLevel="0" collapsed="false">
      <c r="C33" s="3" t="s">
        <v>269</v>
      </c>
      <c r="D33" s="200" t="n">
        <v>0.385</v>
      </c>
      <c r="E33" s="212" t="n">
        <f aca="false">+$D$33*E32</f>
        <v>227.504821333926</v>
      </c>
      <c r="F33" s="206"/>
      <c r="G33" s="212" t="n">
        <f aca="false">+$D$33*G32</f>
        <v>285.254821333926</v>
      </c>
      <c r="I33" s="206"/>
      <c r="J33" s="211"/>
    </row>
    <row r="34" customFormat="false" ht="12.75" hidden="false" customHeight="false" outlineLevel="0" collapsed="false">
      <c r="C34" s="3" t="s">
        <v>270</v>
      </c>
      <c r="E34" s="212" t="n">
        <f aca="false">+E30-E33</f>
        <v>522.495178666074</v>
      </c>
      <c r="F34" s="206"/>
      <c r="G34" s="212" t="n">
        <f aca="false">+G30-G33</f>
        <v>614.745178666074</v>
      </c>
      <c r="I34" s="206"/>
      <c r="J34" s="211"/>
    </row>
    <row r="35" customFormat="false" ht="12.75" hidden="false" customHeight="false" outlineLevel="0" collapsed="false">
      <c r="E35" s="269"/>
      <c r="G35" s="269"/>
      <c r="I35" s="206"/>
      <c r="J35" s="211"/>
      <c r="K35" s="206"/>
    </row>
    <row r="36" customFormat="false" ht="12.75" hidden="false" customHeight="false" outlineLevel="0" collapsed="false">
      <c r="A36" s="3" t="n">
        <v>4</v>
      </c>
      <c r="B36" s="3" t="str">
        <f aca="false">C6</f>
        <v>Sell CG&amp;E T&amp;D Assets</v>
      </c>
      <c r="C36" s="3" t="s">
        <v>259</v>
      </c>
      <c r="E36" s="212" t="n">
        <f aca="false">+'Sum of Parts-Slide'!M24</f>
        <v>1600</v>
      </c>
      <c r="F36" s="206"/>
      <c r="G36" s="212" t="n">
        <f aca="false">+'Sum of Parts-Slide'!O24</f>
        <v>1800</v>
      </c>
      <c r="I36" s="206"/>
      <c r="J36" s="211"/>
    </row>
    <row r="37" customFormat="false" ht="12.75" hidden="false" customHeight="false" outlineLevel="0" collapsed="false">
      <c r="B37" s="3" t="s">
        <v>264</v>
      </c>
      <c r="C37" s="3" t="s">
        <v>265</v>
      </c>
      <c r="E37" s="212" t="n">
        <f aca="false">+'Tax Basis'!$F$9+'Tax Basis'!$J$9</f>
        <v>1061.45521742728</v>
      </c>
      <c r="G37" s="212" t="n">
        <f aca="false">+'Tax Basis'!$F$9+'Tax Basis'!$J$9</f>
        <v>1061.45521742728</v>
      </c>
      <c r="J37" s="211"/>
    </row>
    <row r="38" customFormat="false" ht="12.75" hidden="false" customHeight="false" outlineLevel="0" collapsed="false">
      <c r="B38" s="3" t="s">
        <v>267</v>
      </c>
      <c r="C38" s="3" t="s">
        <v>268</v>
      </c>
      <c r="E38" s="212" t="n">
        <f aca="false">+E36-E37</f>
        <v>538.544782572719</v>
      </c>
      <c r="G38" s="212" t="n">
        <f aca="false">+G36-G37</f>
        <v>738.544782572719</v>
      </c>
    </row>
    <row r="39" customFormat="false" ht="12.75" hidden="false" customHeight="false" outlineLevel="0" collapsed="false">
      <c r="C39" s="3" t="s">
        <v>269</v>
      </c>
      <c r="D39" s="200" t="n">
        <v>0.385</v>
      </c>
      <c r="E39" s="212" t="n">
        <f aca="false">+E38*$D$39</f>
        <v>207.339741290497</v>
      </c>
      <c r="F39" s="206"/>
      <c r="G39" s="212" t="n">
        <f aca="false">+G38*$D$39</f>
        <v>284.339741290497</v>
      </c>
      <c r="I39" s="206"/>
    </row>
    <row r="40" customFormat="false" ht="12.75" hidden="false" customHeight="false" outlineLevel="0" collapsed="false">
      <c r="E40" s="269"/>
      <c r="F40" s="206"/>
      <c r="G40" s="269"/>
      <c r="I40" s="206"/>
    </row>
    <row r="41" customFormat="false" ht="12.75" hidden="false" customHeight="false" outlineLevel="0" collapsed="false">
      <c r="A41" s="3" t="n">
        <v>5</v>
      </c>
      <c r="B41" s="3" t="str">
        <f aca="false">C7</f>
        <v>Transfer CG&amp;E peaking+mid-gen.to ENE subsidiary (pay taxes)</v>
      </c>
      <c r="C41" s="3" t="s">
        <v>259</v>
      </c>
      <c r="E41" s="212" t="n">
        <f aca="false">'Sum of Parts-Slide'!M36</f>
        <v>300</v>
      </c>
      <c r="F41" s="206"/>
      <c r="G41" s="212" t="n">
        <f aca="false">+'Sum of Parts-Slide'!O36</f>
        <v>500</v>
      </c>
      <c r="I41" s="206"/>
      <c r="J41" s="211"/>
    </row>
    <row r="42" customFormat="false" ht="12.75" hidden="false" customHeight="false" outlineLevel="0" collapsed="false">
      <c r="B42" s="3" t="s">
        <v>353</v>
      </c>
      <c r="C42" s="3" t="s">
        <v>275</v>
      </c>
      <c r="E42" s="212" t="n">
        <f aca="false">'Tax Basis'!M9</f>
        <v>74.385435841778</v>
      </c>
      <c r="G42" s="212" t="n">
        <f aca="false">'Tax Basis'!M9</f>
        <v>74.385435841778</v>
      </c>
      <c r="J42" s="211"/>
    </row>
    <row r="43" customFormat="false" ht="12.75" hidden="false" customHeight="false" outlineLevel="0" collapsed="false">
      <c r="C43" s="3" t="s">
        <v>268</v>
      </c>
      <c r="E43" s="212" t="n">
        <f aca="false">+E41-E42</f>
        <v>225.614564158222</v>
      </c>
      <c r="G43" s="212" t="n">
        <f aca="false">+G41-G42</f>
        <v>425.614564158222</v>
      </c>
      <c r="J43" s="211"/>
      <c r="K43" s="206"/>
    </row>
    <row r="44" customFormat="false" ht="12.75" hidden="false" customHeight="false" outlineLevel="0" collapsed="false">
      <c r="C44" s="3" t="s">
        <v>269</v>
      </c>
      <c r="D44" s="200" t="n">
        <v>0.385</v>
      </c>
      <c r="E44" s="212" t="n">
        <f aca="false">+$D$50*E43</f>
        <v>86.8616072009155</v>
      </c>
      <c r="F44" s="206"/>
      <c r="G44" s="212" t="n">
        <f aca="false">+$D$50*G43</f>
        <v>163.861607200916</v>
      </c>
      <c r="I44" s="206"/>
      <c r="J44" s="211"/>
    </row>
    <row r="45" customFormat="false" ht="12.75" hidden="false" customHeight="false" outlineLevel="0" collapsed="false">
      <c r="C45" s="3" t="s">
        <v>270</v>
      </c>
      <c r="E45" s="212" t="n">
        <f aca="false">E41-E44</f>
        <v>213.138392799085</v>
      </c>
      <c r="F45" s="206"/>
      <c r="G45" s="212" t="n">
        <f aca="false">G41-G44</f>
        <v>336.138392799085</v>
      </c>
      <c r="I45" s="206"/>
    </row>
    <row r="46" customFormat="false" ht="12.75" hidden="false" customHeight="false" outlineLevel="0" collapsed="false">
      <c r="E46" s="269"/>
      <c r="F46" s="206"/>
      <c r="G46" s="269"/>
      <c r="I46" s="206"/>
    </row>
    <row r="47" customFormat="false" ht="12.75" hidden="false" customHeight="false" outlineLevel="0" collapsed="false">
      <c r="A47" s="3" t="n">
        <v>6</v>
      </c>
      <c r="B47" s="3" t="str">
        <f aca="false">C8</f>
        <v>Sell  Cinergy Stock (CG&amp;E baseload generation)</v>
      </c>
      <c r="C47" s="3" t="s">
        <v>259</v>
      </c>
      <c r="E47" s="212" t="n">
        <f aca="false">+'Sum of Parts-Slide'!M30</f>
        <v>5600</v>
      </c>
      <c r="F47" s="206"/>
      <c r="G47" s="212" t="n">
        <f aca="false">+'Sum of Parts-Slide'!O30</f>
        <v>7500</v>
      </c>
      <c r="I47" s="206"/>
      <c r="J47" s="211"/>
    </row>
    <row r="48" customFormat="false" ht="12.75" hidden="false" customHeight="false" outlineLevel="0" collapsed="false">
      <c r="B48" s="3" t="s">
        <v>277</v>
      </c>
      <c r="C48" s="3" t="s">
        <v>275</v>
      </c>
      <c r="E48" s="212" t="n">
        <f aca="false">F16</f>
        <v>5120.7541875</v>
      </c>
      <c r="G48" s="212" t="n">
        <f aca="false">F16</f>
        <v>5120.7541875</v>
      </c>
      <c r="J48" s="211"/>
    </row>
    <row r="49" customFormat="false" ht="12.75" hidden="false" customHeight="false" outlineLevel="0" collapsed="false">
      <c r="C49" s="3" t="s">
        <v>268</v>
      </c>
      <c r="E49" s="212" t="n">
        <f aca="false">+E47-E48</f>
        <v>479.245812499999</v>
      </c>
      <c r="G49" s="212" t="n">
        <f aca="false">+G47-G48</f>
        <v>2379.2458125</v>
      </c>
      <c r="J49" s="211"/>
      <c r="K49" s="206"/>
    </row>
    <row r="50" customFormat="false" ht="12.75" hidden="false" customHeight="false" outlineLevel="0" collapsed="false">
      <c r="C50" s="3" t="s">
        <v>269</v>
      </c>
      <c r="D50" s="200" t="n">
        <v>0.385</v>
      </c>
      <c r="E50" s="212" t="n">
        <f aca="false">+$D$50*E49</f>
        <v>184.5096378125</v>
      </c>
      <c r="F50" s="206"/>
      <c r="G50" s="212" t="n">
        <f aca="false">+$D$50*G49</f>
        <v>916.0096378125</v>
      </c>
      <c r="I50" s="206"/>
      <c r="J50" s="211"/>
    </row>
    <row r="51" customFormat="false" ht="12.75" hidden="false" customHeight="false" outlineLevel="0" collapsed="false">
      <c r="C51" s="3" t="s">
        <v>270</v>
      </c>
      <c r="E51" s="212" t="n">
        <f aca="false">E47-E50</f>
        <v>5415.4903621875</v>
      </c>
      <c r="F51" s="206"/>
      <c r="G51" s="212" t="n">
        <f aca="false">G47-G50</f>
        <v>6583.9903621875</v>
      </c>
      <c r="I51" s="206"/>
    </row>
    <row r="52" customFormat="false" ht="12.75" hidden="false" customHeight="false" outlineLevel="0" collapsed="false">
      <c r="E52" s="269"/>
      <c r="G52" s="269"/>
      <c r="J52" s="211"/>
      <c r="K52" s="206"/>
    </row>
    <row r="53" customFormat="false" ht="12.75" hidden="false" customHeight="false" outlineLevel="0" collapsed="false">
      <c r="E53" s="269"/>
      <c r="G53" s="269"/>
      <c r="J53" s="211"/>
      <c r="K53" s="206"/>
    </row>
    <row r="54" customFormat="false" ht="12.75" hidden="false" customHeight="false" outlineLevel="0" collapsed="false">
      <c r="C54" s="3" t="s">
        <v>279</v>
      </c>
      <c r="D54" s="215" t="n">
        <v>0.0025</v>
      </c>
      <c r="E54" s="269" t="n">
        <f aca="false">+$D$54*($F$16+$F$17)</f>
        <v>21.67588296875</v>
      </c>
      <c r="G54" s="269" t="n">
        <f aca="false">+$D$54*($F$16+$F$17)</f>
        <v>21.67588296875</v>
      </c>
      <c r="J54" s="211"/>
    </row>
    <row r="55" customFormat="false" ht="12.75" hidden="false" customHeight="false" outlineLevel="0" collapsed="false">
      <c r="C55" s="3" t="s">
        <v>354</v>
      </c>
      <c r="E55" s="117" t="n">
        <f aca="false">+$F$18+E44-E39-E34-E27-E51+E54</f>
        <v>1363.90513681609</v>
      </c>
      <c r="F55" s="213"/>
      <c r="G55" s="117" t="n">
        <f aca="false">+$F$18+G44-G39-G34-G27-G51+G54</f>
        <v>10.905136816093</v>
      </c>
      <c r="J55" s="211"/>
    </row>
    <row r="56" customFormat="false" ht="12.75" hidden="false" customHeight="false" outlineLevel="0" collapsed="false">
      <c r="C56" s="3" t="s">
        <v>355</v>
      </c>
      <c r="E56" s="117" t="n">
        <f aca="false">+'Sum of Parts-Slide'!M36</f>
        <v>300</v>
      </c>
      <c r="F56" s="213"/>
      <c r="G56" s="117" t="n">
        <f aca="false">+'Sum of Parts-Slide'!O36</f>
        <v>500</v>
      </c>
      <c r="J56" s="211"/>
    </row>
    <row r="57" customFormat="false" ht="12.75" hidden="false" customHeight="false" outlineLevel="0" collapsed="false">
      <c r="E57" s="212"/>
      <c r="G57" s="212"/>
      <c r="J57" s="211"/>
    </row>
    <row r="58" customFormat="false" ht="12.75" hidden="false" customHeight="false" outlineLevel="0" collapsed="false">
      <c r="C58" s="5" t="s">
        <v>282</v>
      </c>
      <c r="E58" s="117" t="n">
        <f aca="false">+E56-E55</f>
        <v>-1063.90513681609</v>
      </c>
      <c r="F58" s="213"/>
      <c r="G58" s="117" t="n">
        <f aca="false">+G56-G55</f>
        <v>489.094863183907</v>
      </c>
      <c r="H58" s="213"/>
      <c r="I58" s="206"/>
      <c r="J58" s="211"/>
    </row>
    <row r="59" customFormat="false" ht="12.75" hidden="false" customHeight="false" outlineLevel="0" collapsed="false">
      <c r="D59" s="200"/>
      <c r="E59" s="117"/>
      <c r="F59" s="206"/>
      <c r="G59" s="117"/>
      <c r="I59" s="206"/>
      <c r="J59" s="211"/>
    </row>
    <row r="60" customFormat="false" ht="15.75" hidden="false" customHeight="false" outlineLevel="0" collapsed="false">
      <c r="C60" s="270" t="s">
        <v>356</v>
      </c>
      <c r="E60" s="117"/>
      <c r="F60" s="206"/>
      <c r="G60" s="206"/>
      <c r="H60" s="117"/>
      <c r="K60" s="135"/>
      <c r="L60" s="135"/>
      <c r="M60" s="135"/>
    </row>
    <row r="61" customFormat="false" ht="15.75" hidden="false" customHeight="false" outlineLevel="0" collapsed="false">
      <c r="C61" s="271" t="s">
        <v>357</v>
      </c>
      <c r="E61" s="117"/>
      <c r="F61" s="206"/>
      <c r="G61" s="206"/>
      <c r="H61" s="117"/>
    </row>
    <row r="62" customFormat="false" ht="15.75" hidden="false" customHeight="false" outlineLevel="0" collapsed="false">
      <c r="C62" s="271" t="s">
        <v>358</v>
      </c>
      <c r="D62" s="5"/>
      <c r="E62" s="272"/>
      <c r="H62" s="136"/>
      <c r="J62" s="211"/>
    </row>
    <row r="63" customFormat="false" ht="15.75" hidden="false" customHeight="false" outlineLevel="0" collapsed="false">
      <c r="C63" s="271" t="s">
        <v>359</v>
      </c>
      <c r="E63" s="273"/>
      <c r="F63" s="273"/>
      <c r="G63" s="273"/>
      <c r="H63" s="273"/>
      <c r="I63" s="273"/>
      <c r="J63" s="211"/>
      <c r="K63" s="206"/>
    </row>
    <row r="64" customFormat="false" ht="15.75" hidden="false" customHeight="false" outlineLevel="0" collapsed="false">
      <c r="C64" s="271" t="s">
        <v>360</v>
      </c>
      <c r="E64" s="212"/>
      <c r="F64" s="212"/>
      <c r="G64" s="212"/>
      <c r="H64" s="212"/>
      <c r="I64" s="212"/>
      <c r="J64" s="211"/>
      <c r="K64" s="206"/>
    </row>
    <row r="65" customFormat="false" ht="12.75" hidden="false" customHeight="false" outlineLevel="0" collapsed="false">
      <c r="E65" s="274"/>
      <c r="J65" s="211"/>
      <c r="K65" s="206"/>
    </row>
    <row r="66" customFormat="false" ht="12.75" hidden="false" customHeight="false" outlineLevel="0" collapsed="false">
      <c r="B66" s="3" t="s">
        <v>283</v>
      </c>
    </row>
    <row r="67" customFormat="false" ht="12.75" hidden="false" customHeight="false" outlineLevel="0" collapsed="false">
      <c r="A67" s="18" t="n">
        <v>1</v>
      </c>
      <c r="B67" s="3" t="s">
        <v>284</v>
      </c>
    </row>
    <row r="68" customFormat="false" ht="12.75" hidden="false" customHeight="false" outlineLevel="0" collapsed="false">
      <c r="A68" s="3" t="n">
        <v>2</v>
      </c>
      <c r="B68" s="3" t="s">
        <v>285</v>
      </c>
    </row>
    <row r="69" customFormat="false" ht="12.75" hidden="false" customHeight="false" outlineLevel="0" collapsed="false">
      <c r="A69" s="3" t="n">
        <v>3</v>
      </c>
      <c r="B69" s="3" t="s">
        <v>286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100" zoomScalePageLayoutView="70" workbookViewId="0">
      <selection pane="topLeft" activeCell="A17" activeCellId="0" sqref="A17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23" width="2.84"/>
    <col collapsed="false" customWidth="true" hidden="false" outlineLevel="0" max="2" min="2" style="223" width="31.99"/>
    <col collapsed="false" customWidth="true" hidden="false" outlineLevel="0" max="3" min="3" style="223" width="7.28"/>
    <col collapsed="false" customWidth="true" hidden="false" outlineLevel="0" max="4" min="4" style="223" width="17.14"/>
    <col collapsed="false" customWidth="true" hidden="false" outlineLevel="0" max="6" min="5" style="223" width="15.7"/>
    <col collapsed="false" customWidth="true" hidden="false" outlineLevel="0" max="7" min="7" style="223" width="15.85"/>
    <col collapsed="false" customWidth="true" hidden="false" outlineLevel="0" max="8" min="8" style="223" width="14.99"/>
    <col collapsed="false" customWidth="true" hidden="false" outlineLevel="0" max="9" min="9" style="223" width="21.13"/>
    <col collapsed="false" customWidth="true" hidden="false" outlineLevel="0" max="10" min="10" style="223" width="18.85"/>
    <col collapsed="false" customWidth="false" hidden="false" outlineLevel="0" max="12" min="11" style="223" width="7.99"/>
    <col collapsed="false" customWidth="true" hidden="false" outlineLevel="0" max="13" min="13" style="223" width="22.56"/>
    <col collapsed="false" customWidth="true" hidden="false" outlineLevel="0" max="14" min="14" style="223" width="13.7"/>
    <col collapsed="false" customWidth="true" hidden="false" outlineLevel="0" max="16" min="15" style="223" width="16.13"/>
    <col collapsed="false" customWidth="true" hidden="false" outlineLevel="0" max="17" min="17" style="223" width="22.99"/>
    <col collapsed="false" customWidth="true" hidden="false" outlineLevel="0" max="18" min="18" style="223" width="7.7"/>
    <col collapsed="false" customWidth="true" hidden="false" outlineLevel="0" max="19" min="19" style="223" width="12.56"/>
    <col collapsed="false" customWidth="false" hidden="false" outlineLevel="0" max="257" min="20" style="223" width="7.99"/>
  </cols>
  <sheetData>
    <row r="1" customFormat="false" ht="22.5" hidden="false" customHeight="false" outlineLevel="0" collapsed="false">
      <c r="B1" s="224" t="s">
        <v>361</v>
      </c>
    </row>
    <row r="2" customFormat="false" ht="15.75" hidden="false" customHeight="false" outlineLevel="0" collapsed="false">
      <c r="B2" s="225" t="s">
        <v>288</v>
      </c>
    </row>
    <row r="3" customFormat="false" ht="12.75" hidden="false" customHeight="false" outlineLevel="0" collapsed="false">
      <c r="B3" s="226" t="s">
        <v>289</v>
      </c>
    </row>
    <row r="4" customFormat="false" ht="12.75" hidden="false" customHeight="false" outlineLevel="0" collapsed="false">
      <c r="B4" s="226"/>
      <c r="E4" s="227"/>
      <c r="G4" s="227"/>
      <c r="H4" s="227" t="s">
        <v>362</v>
      </c>
      <c r="I4" s="227"/>
    </row>
    <row r="5" customFormat="false" ht="12.75" hidden="false" customHeight="false" outlineLevel="0" collapsed="false">
      <c r="E5" s="227" t="s">
        <v>363</v>
      </c>
      <c r="F5" s="227"/>
      <c r="G5" s="227"/>
      <c r="H5" s="227" t="s">
        <v>364</v>
      </c>
      <c r="I5" s="227" t="s">
        <v>365</v>
      </c>
      <c r="N5" s="227"/>
      <c r="Q5" s="227"/>
    </row>
    <row r="6" customFormat="false" ht="12.75" hidden="false" customHeight="false" outlineLevel="0" collapsed="false">
      <c r="D6" s="227" t="s">
        <v>366</v>
      </c>
      <c r="E6" s="227" t="s">
        <v>294</v>
      </c>
      <c r="F6" s="227" t="s">
        <v>367</v>
      </c>
      <c r="G6" s="227" t="s">
        <v>368</v>
      </c>
      <c r="H6" s="227" t="s">
        <v>369</v>
      </c>
      <c r="I6" s="227" t="s">
        <v>370</v>
      </c>
      <c r="J6" s="227" t="s">
        <v>371</v>
      </c>
      <c r="M6" s="227"/>
      <c r="N6" s="227"/>
      <c r="O6" s="227"/>
      <c r="P6" s="227"/>
      <c r="Q6" s="227"/>
      <c r="R6" s="227"/>
      <c r="S6" s="227"/>
    </row>
    <row r="7" customFormat="false" ht="12.75" hidden="false" customHeight="false" outlineLevel="0" collapsed="false">
      <c r="A7" s="228"/>
      <c r="B7" s="229" t="s">
        <v>300</v>
      </c>
      <c r="C7" s="228"/>
      <c r="D7" s="228" t="s">
        <v>372</v>
      </c>
      <c r="E7" s="228" t="s">
        <v>302</v>
      </c>
      <c r="F7" s="228" t="s">
        <v>303</v>
      </c>
      <c r="G7" s="228" t="s">
        <v>304</v>
      </c>
      <c r="H7" s="228" t="s">
        <v>373</v>
      </c>
      <c r="I7" s="228" t="s">
        <v>374</v>
      </c>
      <c r="J7" s="228" t="s">
        <v>238</v>
      </c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  <c r="EE7" s="228"/>
      <c r="EF7" s="228"/>
      <c r="EG7" s="228"/>
      <c r="EH7" s="228"/>
      <c r="EI7" s="228"/>
      <c r="EJ7" s="228"/>
      <c r="EK7" s="228"/>
      <c r="EL7" s="228"/>
      <c r="EM7" s="228"/>
      <c r="EN7" s="228"/>
      <c r="EO7" s="228"/>
      <c r="EP7" s="228"/>
      <c r="EQ7" s="228"/>
      <c r="ER7" s="228"/>
      <c r="ES7" s="228"/>
      <c r="ET7" s="228"/>
      <c r="EU7" s="228"/>
      <c r="EV7" s="228"/>
      <c r="EW7" s="228"/>
      <c r="EX7" s="228"/>
      <c r="EY7" s="228"/>
      <c r="EZ7" s="228"/>
      <c r="FA7" s="228"/>
      <c r="FB7" s="228"/>
      <c r="FC7" s="228"/>
      <c r="FD7" s="228"/>
      <c r="FE7" s="228"/>
      <c r="FF7" s="228"/>
      <c r="FG7" s="228"/>
      <c r="FH7" s="228"/>
      <c r="FI7" s="228"/>
      <c r="FJ7" s="228"/>
      <c r="FK7" s="228"/>
      <c r="FL7" s="228"/>
      <c r="FM7" s="228"/>
      <c r="FN7" s="228"/>
      <c r="FO7" s="228"/>
      <c r="FP7" s="228"/>
      <c r="FQ7" s="228"/>
      <c r="FR7" s="228"/>
      <c r="FS7" s="228"/>
      <c r="FT7" s="228"/>
      <c r="FU7" s="228"/>
      <c r="FV7" s="228"/>
      <c r="FW7" s="228"/>
      <c r="FX7" s="228"/>
      <c r="FY7" s="228"/>
      <c r="FZ7" s="228"/>
      <c r="GA7" s="228"/>
      <c r="GB7" s="228"/>
      <c r="GC7" s="228"/>
      <c r="GD7" s="228"/>
      <c r="GE7" s="228"/>
      <c r="GF7" s="228"/>
      <c r="GG7" s="228"/>
      <c r="GH7" s="228"/>
      <c r="GI7" s="228"/>
      <c r="GJ7" s="228"/>
      <c r="GK7" s="228"/>
      <c r="GL7" s="228"/>
      <c r="GM7" s="228"/>
      <c r="GN7" s="228"/>
      <c r="GO7" s="228"/>
      <c r="GP7" s="228"/>
      <c r="GQ7" s="228"/>
      <c r="GR7" s="228"/>
      <c r="GS7" s="228"/>
      <c r="GT7" s="228"/>
      <c r="GU7" s="228"/>
      <c r="GV7" s="228"/>
      <c r="GW7" s="228"/>
      <c r="GX7" s="228"/>
      <c r="GY7" s="228"/>
      <c r="GZ7" s="228"/>
      <c r="HA7" s="228"/>
      <c r="HB7" s="228"/>
      <c r="HC7" s="228"/>
      <c r="HD7" s="228"/>
      <c r="HE7" s="228"/>
      <c r="HF7" s="228"/>
      <c r="HG7" s="228"/>
      <c r="HH7" s="228"/>
      <c r="HI7" s="228"/>
      <c r="HJ7" s="228"/>
      <c r="HK7" s="228"/>
      <c r="HL7" s="228"/>
      <c r="HM7" s="228"/>
      <c r="HN7" s="228"/>
      <c r="HO7" s="228"/>
      <c r="HP7" s="228"/>
      <c r="HQ7" s="228"/>
      <c r="HR7" s="228"/>
      <c r="HS7" s="228"/>
      <c r="HT7" s="228"/>
      <c r="HU7" s="228"/>
      <c r="HV7" s="228"/>
      <c r="HW7" s="228"/>
      <c r="HX7" s="228"/>
      <c r="HY7" s="228"/>
      <c r="HZ7" s="228"/>
      <c r="IA7" s="228"/>
      <c r="IB7" s="228"/>
      <c r="IC7" s="228"/>
      <c r="ID7" s="228"/>
      <c r="IE7" s="228"/>
      <c r="IF7" s="228"/>
      <c r="IG7" s="228"/>
      <c r="IH7" s="228"/>
      <c r="II7" s="228"/>
      <c r="IJ7" s="228"/>
      <c r="IK7" s="228"/>
      <c r="IL7" s="228"/>
      <c r="IM7" s="228"/>
      <c r="IN7" s="228"/>
      <c r="IO7" s="228"/>
      <c r="IP7" s="228"/>
      <c r="IQ7" s="228"/>
      <c r="IR7" s="228"/>
      <c r="IS7" s="228"/>
      <c r="IT7" s="228"/>
      <c r="IU7" s="228"/>
      <c r="IV7" s="228"/>
      <c r="IW7" s="228"/>
    </row>
    <row r="8" customFormat="false" ht="12.75" hidden="false" customHeight="false" outlineLevel="0" collapsed="false">
      <c r="A8" s="228"/>
      <c r="B8" s="230" t="s">
        <v>308</v>
      </c>
      <c r="C8" s="231" t="n">
        <f aca="false">+'Corp I-S&amp;B-S'!C54</f>
        <v>36600</v>
      </c>
      <c r="D8" s="232" t="n">
        <f aca="false">+'Financial Data Slide'!K19</f>
        <v>21.44</v>
      </c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8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  <c r="EC8" s="228"/>
      <c r="ED8" s="228"/>
      <c r="EE8" s="228"/>
      <c r="EF8" s="228"/>
      <c r="EG8" s="228"/>
      <c r="EH8" s="228"/>
      <c r="EI8" s="228"/>
      <c r="EJ8" s="228"/>
      <c r="EK8" s="228"/>
      <c r="EL8" s="228"/>
      <c r="EM8" s="228"/>
      <c r="EN8" s="228"/>
      <c r="EO8" s="228"/>
      <c r="EP8" s="228"/>
      <c r="EQ8" s="228"/>
      <c r="ER8" s="228"/>
      <c r="ES8" s="228"/>
      <c r="ET8" s="228"/>
      <c r="EU8" s="228"/>
      <c r="EV8" s="228"/>
      <c r="EW8" s="228"/>
      <c r="EX8" s="228"/>
      <c r="EY8" s="228"/>
      <c r="EZ8" s="228"/>
      <c r="FA8" s="228"/>
      <c r="FB8" s="228"/>
      <c r="FC8" s="228"/>
      <c r="FD8" s="228"/>
      <c r="FE8" s="228"/>
      <c r="FF8" s="228"/>
      <c r="FG8" s="228"/>
      <c r="FH8" s="228"/>
      <c r="FI8" s="228"/>
      <c r="FJ8" s="228"/>
      <c r="FK8" s="228"/>
      <c r="FL8" s="228"/>
      <c r="FM8" s="228"/>
      <c r="FN8" s="228"/>
      <c r="FO8" s="228"/>
      <c r="FP8" s="228"/>
      <c r="FQ8" s="228"/>
      <c r="FR8" s="228"/>
      <c r="FS8" s="228"/>
      <c r="FT8" s="228"/>
      <c r="FU8" s="228"/>
      <c r="FV8" s="228"/>
      <c r="FW8" s="228"/>
      <c r="FX8" s="228"/>
      <c r="FY8" s="228"/>
      <c r="FZ8" s="228"/>
      <c r="GA8" s="228"/>
      <c r="GB8" s="228"/>
      <c r="GC8" s="228"/>
      <c r="GD8" s="228"/>
      <c r="GE8" s="228"/>
      <c r="GF8" s="228"/>
      <c r="GG8" s="228"/>
      <c r="GH8" s="228"/>
      <c r="GI8" s="228"/>
      <c r="GJ8" s="228"/>
      <c r="GK8" s="228"/>
      <c r="GL8" s="228"/>
      <c r="GM8" s="228"/>
      <c r="GN8" s="228"/>
      <c r="GO8" s="228"/>
      <c r="GP8" s="228"/>
      <c r="GQ8" s="228"/>
      <c r="GR8" s="228"/>
      <c r="GS8" s="228"/>
      <c r="GT8" s="228"/>
      <c r="GU8" s="228"/>
      <c r="GV8" s="228"/>
      <c r="GW8" s="228"/>
      <c r="GX8" s="228"/>
      <c r="GY8" s="228"/>
      <c r="GZ8" s="228"/>
      <c r="HA8" s="228"/>
      <c r="HB8" s="228"/>
      <c r="HC8" s="228"/>
      <c r="HD8" s="228"/>
      <c r="HE8" s="228"/>
      <c r="HF8" s="228"/>
      <c r="HG8" s="228"/>
      <c r="HH8" s="228"/>
      <c r="HI8" s="228"/>
      <c r="HJ8" s="228"/>
      <c r="HK8" s="228"/>
      <c r="HL8" s="228"/>
      <c r="HM8" s="228"/>
      <c r="HN8" s="228"/>
      <c r="HO8" s="228"/>
      <c r="HP8" s="228"/>
      <c r="HQ8" s="228"/>
      <c r="HR8" s="228"/>
      <c r="HS8" s="228"/>
      <c r="HT8" s="228"/>
      <c r="HU8" s="228"/>
      <c r="HV8" s="228"/>
      <c r="HW8" s="228"/>
      <c r="HX8" s="228"/>
      <c r="HY8" s="228"/>
      <c r="HZ8" s="228"/>
      <c r="IA8" s="228"/>
      <c r="IB8" s="228"/>
      <c r="IC8" s="228"/>
      <c r="ID8" s="228"/>
      <c r="IE8" s="228"/>
      <c r="IF8" s="228"/>
      <c r="IG8" s="228"/>
      <c r="IH8" s="228"/>
      <c r="II8" s="228"/>
      <c r="IJ8" s="228"/>
      <c r="IK8" s="228"/>
      <c r="IL8" s="228"/>
      <c r="IM8" s="228"/>
      <c r="IN8" s="228"/>
      <c r="IO8" s="228"/>
      <c r="IP8" s="228"/>
      <c r="IQ8" s="228"/>
      <c r="IR8" s="228"/>
      <c r="IS8" s="228"/>
      <c r="IT8" s="228"/>
      <c r="IU8" s="228"/>
      <c r="IV8" s="228"/>
      <c r="IW8" s="228"/>
    </row>
    <row r="9" customFormat="false" ht="12.75" hidden="false" customHeight="false" outlineLevel="0" collapsed="false">
      <c r="A9" s="228"/>
      <c r="B9" s="230" t="s">
        <v>252</v>
      </c>
      <c r="C9" s="228"/>
      <c r="D9" s="233" t="n">
        <v>0.5</v>
      </c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  <c r="EE9" s="228"/>
      <c r="EF9" s="228"/>
      <c r="EG9" s="228"/>
      <c r="EH9" s="228"/>
      <c r="EI9" s="228"/>
      <c r="EJ9" s="228"/>
      <c r="EK9" s="228"/>
      <c r="EL9" s="228"/>
      <c r="EM9" s="228"/>
      <c r="EN9" s="228"/>
      <c r="EO9" s="228"/>
      <c r="EP9" s="228"/>
      <c r="EQ9" s="228"/>
      <c r="ER9" s="228"/>
      <c r="ES9" s="228"/>
      <c r="ET9" s="228"/>
      <c r="EU9" s="228"/>
      <c r="EV9" s="228"/>
      <c r="EW9" s="228"/>
      <c r="EX9" s="228"/>
      <c r="EY9" s="228"/>
      <c r="EZ9" s="228"/>
      <c r="FA9" s="228"/>
      <c r="FB9" s="228"/>
      <c r="FC9" s="228"/>
      <c r="FD9" s="228"/>
      <c r="FE9" s="228"/>
      <c r="FF9" s="228"/>
      <c r="FG9" s="228"/>
      <c r="FH9" s="228"/>
      <c r="FI9" s="228"/>
      <c r="FJ9" s="228"/>
      <c r="FK9" s="228"/>
      <c r="FL9" s="228"/>
      <c r="FM9" s="228"/>
      <c r="FN9" s="228"/>
      <c r="FO9" s="228"/>
      <c r="FP9" s="228"/>
      <c r="FQ9" s="228"/>
      <c r="FR9" s="228"/>
      <c r="FS9" s="228"/>
      <c r="FT9" s="228"/>
      <c r="FU9" s="228"/>
      <c r="FV9" s="228"/>
      <c r="FW9" s="228"/>
      <c r="FX9" s="228"/>
      <c r="FY9" s="228"/>
      <c r="FZ9" s="228"/>
      <c r="GA9" s="228"/>
      <c r="GB9" s="228"/>
      <c r="GC9" s="228"/>
      <c r="GD9" s="228"/>
      <c r="GE9" s="228"/>
      <c r="GF9" s="228"/>
      <c r="GG9" s="228"/>
      <c r="GH9" s="228"/>
      <c r="GI9" s="228"/>
      <c r="GJ9" s="228"/>
      <c r="GK9" s="228"/>
      <c r="GL9" s="228"/>
      <c r="GM9" s="228"/>
      <c r="GN9" s="228"/>
      <c r="GO9" s="228"/>
      <c r="GP9" s="228"/>
      <c r="GQ9" s="228"/>
      <c r="GR9" s="228"/>
      <c r="GS9" s="228"/>
      <c r="GT9" s="228"/>
      <c r="GU9" s="228"/>
      <c r="GV9" s="228"/>
      <c r="GW9" s="228"/>
      <c r="GX9" s="228"/>
      <c r="GY9" s="228"/>
      <c r="GZ9" s="228"/>
      <c r="HA9" s="228"/>
      <c r="HB9" s="228"/>
      <c r="HC9" s="228"/>
      <c r="HD9" s="228"/>
      <c r="HE9" s="228"/>
      <c r="HF9" s="228"/>
      <c r="HG9" s="228"/>
      <c r="HH9" s="228"/>
      <c r="HI9" s="228"/>
      <c r="HJ9" s="228"/>
      <c r="HK9" s="228"/>
      <c r="HL9" s="228"/>
      <c r="HM9" s="228"/>
      <c r="HN9" s="228"/>
      <c r="HO9" s="228"/>
      <c r="HP9" s="228"/>
      <c r="HQ9" s="228"/>
      <c r="HR9" s="228"/>
      <c r="HS9" s="228"/>
      <c r="HT9" s="228"/>
      <c r="HU9" s="228"/>
      <c r="HV9" s="228"/>
      <c r="HW9" s="228"/>
      <c r="HX9" s="228"/>
      <c r="HY9" s="228"/>
      <c r="HZ9" s="228"/>
      <c r="IA9" s="228"/>
      <c r="IB9" s="228"/>
      <c r="IC9" s="228"/>
      <c r="ID9" s="228"/>
      <c r="IE9" s="228"/>
      <c r="IF9" s="228"/>
      <c r="IG9" s="228"/>
      <c r="IH9" s="228"/>
      <c r="II9" s="228"/>
      <c r="IJ9" s="228"/>
      <c r="IK9" s="228"/>
      <c r="IL9" s="228"/>
      <c r="IM9" s="228"/>
      <c r="IN9" s="228"/>
      <c r="IO9" s="228"/>
      <c r="IP9" s="228"/>
      <c r="IQ9" s="228"/>
      <c r="IR9" s="228"/>
      <c r="IS9" s="228"/>
      <c r="IT9" s="228"/>
      <c r="IU9" s="228"/>
      <c r="IV9" s="228"/>
      <c r="IW9" s="228"/>
    </row>
    <row r="10" customFormat="false" ht="12.75" hidden="false" customHeight="false" outlineLevel="0" collapsed="false">
      <c r="A10" s="228"/>
      <c r="B10" s="230" t="s">
        <v>309</v>
      </c>
      <c r="C10" s="228"/>
      <c r="D10" s="234" t="n">
        <f aca="false">D8*(1+D9)</f>
        <v>32.16</v>
      </c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  <c r="EE10" s="228"/>
      <c r="EF10" s="228"/>
      <c r="EG10" s="228"/>
      <c r="EH10" s="228"/>
      <c r="EI10" s="228"/>
      <c r="EJ10" s="228"/>
      <c r="EK10" s="228"/>
      <c r="EL10" s="228"/>
      <c r="EM10" s="228"/>
      <c r="EN10" s="228"/>
      <c r="EO10" s="228"/>
      <c r="EP10" s="228"/>
      <c r="EQ10" s="228"/>
      <c r="ER10" s="228"/>
      <c r="ES10" s="228"/>
      <c r="ET10" s="228"/>
      <c r="EU10" s="228"/>
      <c r="EV10" s="228"/>
      <c r="EW10" s="228"/>
      <c r="EX10" s="228"/>
      <c r="EY10" s="228"/>
      <c r="EZ10" s="228"/>
      <c r="FA10" s="228"/>
      <c r="FB10" s="228"/>
      <c r="FC10" s="228"/>
      <c r="FD10" s="228"/>
      <c r="FE10" s="228"/>
      <c r="FF10" s="228"/>
      <c r="FG10" s="228"/>
      <c r="FH10" s="228"/>
      <c r="FI10" s="228"/>
      <c r="FJ10" s="228"/>
      <c r="FK10" s="228"/>
      <c r="FL10" s="228"/>
      <c r="FM10" s="228"/>
      <c r="FN10" s="228"/>
      <c r="FO10" s="228"/>
      <c r="FP10" s="228"/>
      <c r="FQ10" s="228"/>
      <c r="FR10" s="228"/>
      <c r="FS10" s="228"/>
      <c r="FT10" s="228"/>
      <c r="FU10" s="228"/>
      <c r="FV10" s="228"/>
      <c r="FW10" s="228"/>
      <c r="FX10" s="228"/>
      <c r="FY10" s="228"/>
      <c r="FZ10" s="228"/>
      <c r="GA10" s="228"/>
      <c r="GB10" s="228"/>
      <c r="GC10" s="228"/>
      <c r="GD10" s="228"/>
      <c r="GE10" s="228"/>
      <c r="GF10" s="228"/>
      <c r="GG10" s="228"/>
      <c r="GH10" s="228"/>
      <c r="GI10" s="228"/>
      <c r="GJ10" s="228"/>
      <c r="GK10" s="228"/>
      <c r="GL10" s="228"/>
      <c r="GM10" s="228"/>
      <c r="GN10" s="228"/>
      <c r="GO10" s="228"/>
      <c r="GP10" s="228"/>
      <c r="GQ10" s="228"/>
      <c r="GR10" s="228"/>
      <c r="GS10" s="228"/>
      <c r="GT10" s="228"/>
      <c r="GU10" s="228"/>
      <c r="GV10" s="228"/>
      <c r="GW10" s="228"/>
      <c r="GX10" s="228"/>
      <c r="GY10" s="228"/>
      <c r="GZ10" s="228"/>
      <c r="HA10" s="228"/>
      <c r="HB10" s="228"/>
      <c r="HC10" s="228"/>
      <c r="HD10" s="228"/>
      <c r="HE10" s="228"/>
      <c r="HF10" s="228"/>
      <c r="HG10" s="228"/>
      <c r="HH10" s="228"/>
      <c r="HI10" s="228"/>
      <c r="HJ10" s="228"/>
      <c r="HK10" s="228"/>
      <c r="HL10" s="228"/>
      <c r="HM10" s="228"/>
      <c r="HN10" s="228"/>
      <c r="HO10" s="228"/>
      <c r="HP10" s="228"/>
      <c r="HQ10" s="228"/>
      <c r="HR10" s="228"/>
      <c r="HS10" s="228"/>
      <c r="HT10" s="228"/>
      <c r="HU10" s="228"/>
      <c r="HV10" s="228"/>
      <c r="HW10" s="228"/>
      <c r="HX10" s="228"/>
      <c r="HY10" s="228"/>
      <c r="HZ10" s="228"/>
      <c r="IA10" s="228"/>
      <c r="IB10" s="228"/>
      <c r="IC10" s="228"/>
      <c r="ID10" s="228"/>
      <c r="IE10" s="228"/>
      <c r="IF10" s="228"/>
      <c r="IG10" s="228"/>
      <c r="IH10" s="228"/>
      <c r="II10" s="228"/>
      <c r="IJ10" s="228"/>
      <c r="IK10" s="228"/>
      <c r="IL10" s="228"/>
      <c r="IM10" s="228"/>
      <c r="IN10" s="228"/>
      <c r="IO10" s="228"/>
      <c r="IP10" s="228"/>
      <c r="IQ10" s="228"/>
      <c r="IR10" s="228"/>
      <c r="IS10" s="228"/>
      <c r="IT10" s="228"/>
      <c r="IU10" s="228"/>
      <c r="IV10" s="228"/>
      <c r="IW10" s="228"/>
    </row>
    <row r="11" customFormat="false" ht="12.75" hidden="false" customHeight="false" outlineLevel="0" collapsed="false">
      <c r="A11" s="228"/>
      <c r="B11" s="230" t="s">
        <v>310</v>
      </c>
      <c r="C11" s="228"/>
      <c r="D11" s="235" t="n">
        <f aca="false">+'Financial Data Slide'!E26</f>
        <v>159.246</v>
      </c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  <c r="EE11" s="228"/>
      <c r="EF11" s="228"/>
      <c r="EG11" s="228"/>
      <c r="EH11" s="228"/>
      <c r="EI11" s="228"/>
      <c r="EJ11" s="228"/>
      <c r="EK11" s="228"/>
      <c r="EL11" s="228"/>
      <c r="EM11" s="228"/>
      <c r="EN11" s="228"/>
      <c r="EO11" s="228"/>
      <c r="EP11" s="228"/>
      <c r="EQ11" s="228"/>
      <c r="ER11" s="228"/>
      <c r="ES11" s="228"/>
      <c r="ET11" s="228"/>
      <c r="EU11" s="228"/>
      <c r="EV11" s="228"/>
      <c r="EW11" s="228"/>
      <c r="EX11" s="228"/>
      <c r="EY11" s="228"/>
      <c r="EZ11" s="228"/>
      <c r="FA11" s="228"/>
      <c r="FB11" s="228"/>
      <c r="FC11" s="228"/>
      <c r="FD11" s="228"/>
      <c r="FE11" s="228"/>
      <c r="FF11" s="228"/>
      <c r="FG11" s="228"/>
      <c r="FH11" s="228"/>
      <c r="FI11" s="228"/>
      <c r="FJ11" s="228"/>
      <c r="FK11" s="228"/>
      <c r="FL11" s="228"/>
      <c r="FM11" s="228"/>
      <c r="FN11" s="228"/>
      <c r="FO11" s="228"/>
      <c r="FP11" s="228"/>
      <c r="FQ11" s="228"/>
      <c r="FR11" s="228"/>
      <c r="FS11" s="228"/>
      <c r="FT11" s="228"/>
      <c r="FU11" s="228"/>
      <c r="FV11" s="228"/>
      <c r="FW11" s="228"/>
      <c r="FX11" s="228"/>
      <c r="FY11" s="228"/>
      <c r="FZ11" s="228"/>
      <c r="GA11" s="228"/>
      <c r="GB11" s="228"/>
      <c r="GC11" s="228"/>
      <c r="GD11" s="228"/>
      <c r="GE11" s="228"/>
      <c r="GF11" s="228"/>
      <c r="GG11" s="228"/>
      <c r="GH11" s="228"/>
      <c r="GI11" s="228"/>
      <c r="GJ11" s="228"/>
      <c r="GK11" s="228"/>
      <c r="GL11" s="228"/>
      <c r="GM11" s="228"/>
      <c r="GN11" s="228"/>
      <c r="GO11" s="228"/>
      <c r="GP11" s="228"/>
      <c r="GQ11" s="228"/>
      <c r="GR11" s="228"/>
      <c r="GS11" s="228"/>
      <c r="GT11" s="228"/>
      <c r="GU11" s="228"/>
      <c r="GV11" s="228"/>
      <c r="GW11" s="228"/>
      <c r="GX11" s="228"/>
      <c r="GY11" s="228"/>
      <c r="GZ11" s="228"/>
      <c r="HA11" s="228"/>
      <c r="HB11" s="228"/>
      <c r="HC11" s="228"/>
      <c r="HD11" s="228"/>
      <c r="HE11" s="228"/>
      <c r="HF11" s="228"/>
      <c r="HG11" s="228"/>
      <c r="HH11" s="228"/>
      <c r="HI11" s="228"/>
      <c r="HJ11" s="228"/>
      <c r="HK11" s="228"/>
      <c r="HL11" s="228"/>
      <c r="HM11" s="228"/>
      <c r="HN11" s="228"/>
      <c r="HO11" s="228"/>
      <c r="HP11" s="228"/>
      <c r="HQ11" s="228"/>
      <c r="HR11" s="228"/>
      <c r="HS11" s="228"/>
      <c r="HT11" s="228"/>
      <c r="HU11" s="228"/>
      <c r="HV11" s="228"/>
      <c r="HW11" s="228"/>
      <c r="HX11" s="228"/>
      <c r="HY11" s="228"/>
      <c r="HZ11" s="228"/>
      <c r="IA11" s="228"/>
      <c r="IB11" s="228"/>
      <c r="IC11" s="228"/>
      <c r="ID11" s="228"/>
      <c r="IE11" s="228"/>
      <c r="IF11" s="228"/>
      <c r="IG11" s="228"/>
      <c r="IH11" s="228"/>
      <c r="II11" s="228"/>
      <c r="IJ11" s="228"/>
      <c r="IK11" s="228"/>
      <c r="IL11" s="228"/>
      <c r="IM11" s="228"/>
      <c r="IN11" s="228"/>
      <c r="IO11" s="228"/>
      <c r="IP11" s="228"/>
      <c r="IQ11" s="228"/>
      <c r="IR11" s="228"/>
      <c r="IS11" s="228"/>
      <c r="IT11" s="228"/>
      <c r="IU11" s="228"/>
      <c r="IV11" s="228"/>
      <c r="IW11" s="228"/>
    </row>
    <row r="12" customFormat="false" ht="12.75" hidden="false" customHeight="false" outlineLevel="0" collapsed="false">
      <c r="B12" s="236" t="s">
        <v>311</v>
      </c>
      <c r="D12" s="237" t="n">
        <f aca="false">-D11*D10</f>
        <v>-5121.35136</v>
      </c>
      <c r="E12" s="238" t="s">
        <v>218</v>
      </c>
      <c r="F12" s="238" t="s">
        <v>218</v>
      </c>
      <c r="G12" s="238" t="s">
        <v>218</v>
      </c>
      <c r="H12" s="238" t="s">
        <v>218</v>
      </c>
      <c r="I12" s="239" t="n">
        <f aca="false">+I14-I13</f>
        <v>7278.85508888417</v>
      </c>
      <c r="J12" s="237"/>
    </row>
    <row r="13" customFormat="false" ht="18" hidden="false" customHeight="false" outlineLevel="0" collapsed="false">
      <c r="B13" s="236" t="s">
        <v>312</v>
      </c>
      <c r="D13" s="241" t="n">
        <f aca="false">-'Corp I-S&amp;B-S'!C71</f>
        <v>-3549.599</v>
      </c>
      <c r="E13" s="242" t="s">
        <v>218</v>
      </c>
      <c r="F13" s="242" t="s">
        <v>218</v>
      </c>
      <c r="G13" s="242" t="s">
        <v>218</v>
      </c>
      <c r="H13" s="242" t="s">
        <v>218</v>
      </c>
      <c r="I13" s="241" t="n">
        <f aca="false">-(D13+E20+F20+G20+H20)</f>
        <v>221.144911115835</v>
      </c>
      <c r="J13" s="241"/>
    </row>
    <row r="14" customFormat="false" ht="12.75" hidden="false" customHeight="false" outlineLevel="0" collapsed="false">
      <c r="B14" s="223" t="s">
        <v>259</v>
      </c>
      <c r="D14" s="243" t="n">
        <f aca="false">+D13+D12</f>
        <v>-8670.95036</v>
      </c>
      <c r="E14" s="243" t="n">
        <f aca="false">'Expected Transaction'!G23</f>
        <v>1550</v>
      </c>
      <c r="F14" s="243" t="n">
        <f aca="false">'Expected Transaction'!G30</f>
        <v>900</v>
      </c>
      <c r="G14" s="243" t="n">
        <f aca="false">'Expected Transaction'!G36</f>
        <v>1800</v>
      </c>
      <c r="H14" s="275" t="n">
        <f aca="false">'Expected Transaction'!G41</f>
        <v>500</v>
      </c>
      <c r="I14" s="243" t="n">
        <f aca="false">'Expected Transaction'!G47</f>
        <v>7500</v>
      </c>
    </row>
    <row r="15" customFormat="false" ht="12.75" hidden="false" customHeight="false" outlineLevel="0" collapsed="false">
      <c r="D15" s="243"/>
      <c r="E15" s="243"/>
      <c r="F15" s="243"/>
      <c r="G15" s="243"/>
      <c r="I15" s="243"/>
    </row>
    <row r="16" customFormat="false" ht="18" hidden="false" customHeight="false" outlineLevel="0" collapsed="false">
      <c r="B16" s="244" t="s">
        <v>313</v>
      </c>
      <c r="D16" s="242" t="s">
        <v>218</v>
      </c>
      <c r="E16" s="241" t="n">
        <f aca="false">-'Expected Transaction'!G24</f>
        <v>-1061.45521742728</v>
      </c>
      <c r="F16" s="241" t="n">
        <f aca="false">-'Expected Transaction'!G31</f>
        <v>-159.078386145647</v>
      </c>
      <c r="G16" s="241" t="n">
        <f aca="false">-'Expected Transaction'!G37</f>
        <v>-1061.45521742728</v>
      </c>
      <c r="H16" s="241" t="n">
        <f aca="false">-'Expected Transaction'!G42</f>
        <v>-74.385435841778</v>
      </c>
      <c r="I16" s="241" t="n">
        <f aca="false">D12</f>
        <v>-5121.35136</v>
      </c>
      <c r="J16" s="241"/>
    </row>
    <row r="17" customFormat="false" ht="15.75" hidden="false" customHeight="false" outlineLevel="0" collapsed="false">
      <c r="B17" s="244" t="s">
        <v>314</v>
      </c>
      <c r="D17" s="245" t="s">
        <v>218</v>
      </c>
      <c r="E17" s="243" t="n">
        <f aca="false">+SUM(E14:E16)</f>
        <v>488.544782572719</v>
      </c>
      <c r="F17" s="243" t="n">
        <f aca="false">+SUM(F14:F16)</f>
        <v>740.921613854353</v>
      </c>
      <c r="G17" s="243" t="n">
        <f aca="false">SUM(G14:G16)</f>
        <v>738.544782572719</v>
      </c>
      <c r="H17" s="243" t="n">
        <f aca="false">+H14+H16</f>
        <v>425.614564158222</v>
      </c>
      <c r="I17" s="243" t="n">
        <f aca="false">+I12+I16</f>
        <v>2157.50372888416</v>
      </c>
      <c r="J17" s="243"/>
    </row>
    <row r="18" customFormat="false" ht="12.75" hidden="false" customHeight="false" outlineLevel="0" collapsed="false">
      <c r="B18" s="244"/>
      <c r="D18" s="245"/>
      <c r="E18" s="243"/>
      <c r="F18" s="243"/>
      <c r="G18" s="243"/>
      <c r="H18" s="243"/>
      <c r="I18" s="243"/>
      <c r="J18" s="243"/>
    </row>
    <row r="19" customFormat="false" ht="12.75" hidden="false" customHeight="false" outlineLevel="0" collapsed="false">
      <c r="B19" s="244" t="s">
        <v>315</v>
      </c>
      <c r="C19" s="247" t="n">
        <v>0.385</v>
      </c>
      <c r="D19" s="243" t="n">
        <v>0</v>
      </c>
      <c r="E19" s="243" t="n">
        <f aca="false">-C19*E17</f>
        <v>-188.089741290497</v>
      </c>
      <c r="F19" s="243" t="n">
        <f aca="false">-$C$19*F17</f>
        <v>-285.254821333926</v>
      </c>
      <c r="G19" s="276" t="n">
        <f aca="false">-$C$19*G17</f>
        <v>-284.339741290497</v>
      </c>
      <c r="H19" s="276" t="n">
        <f aca="false">-H17*$C$19</f>
        <v>-163.861607200916</v>
      </c>
      <c r="I19" s="276" t="n">
        <f aca="false">-$C$19*I17</f>
        <v>-830.638935620403</v>
      </c>
      <c r="J19" s="239" t="n">
        <f aca="false">+SUM(E19:I19)</f>
        <v>-1752.18484673624</v>
      </c>
    </row>
    <row r="20" customFormat="false" ht="13.5" hidden="false" customHeight="false" outlineLevel="0" collapsed="false">
      <c r="B20" s="244" t="s">
        <v>316</v>
      </c>
      <c r="D20" s="249" t="n">
        <f aca="false">+D14</f>
        <v>-8670.95036</v>
      </c>
      <c r="E20" s="249" t="n">
        <f aca="false">+E14+E19</f>
        <v>1361.9102587095</v>
      </c>
      <c r="F20" s="249" t="n">
        <f aca="false">+F14+F19</f>
        <v>614.745178666074</v>
      </c>
      <c r="G20" s="249" t="n">
        <f aca="false">+G14+G19</f>
        <v>1515.6602587095</v>
      </c>
      <c r="H20" s="249" t="n">
        <f aca="false">+H19</f>
        <v>-163.861607200916</v>
      </c>
      <c r="I20" s="249" t="n">
        <f aca="false">+I12+I19</f>
        <v>6448.21615326376</v>
      </c>
      <c r="J20" s="249" t="n">
        <f aca="false">+SUM(D20:I20)</f>
        <v>1105.71988214793</v>
      </c>
    </row>
    <row r="21" customFormat="false" ht="13.5" hidden="false" customHeight="false" outlineLevel="0" collapsed="false">
      <c r="B21" s="244"/>
      <c r="D21" s="243"/>
      <c r="E21" s="243"/>
      <c r="F21" s="243"/>
      <c r="G21" s="243"/>
      <c r="H21" s="250"/>
      <c r="I21" s="243"/>
      <c r="J21" s="250"/>
    </row>
    <row r="22" customFormat="false" ht="15.75" hidden="false" customHeight="false" outlineLevel="0" collapsed="false">
      <c r="B22" s="229" t="s">
        <v>317</v>
      </c>
      <c r="D22" s="243"/>
      <c r="E22" s="243"/>
      <c r="F22" s="243"/>
      <c r="G22" s="243"/>
      <c r="H22" s="250"/>
      <c r="I22" s="243"/>
      <c r="J22" s="250"/>
    </row>
    <row r="23" customFormat="false" ht="12.75" hidden="false" customHeight="false" outlineLevel="0" collapsed="false">
      <c r="B23" s="251" t="s">
        <v>318</v>
      </c>
      <c r="D23" s="243" t="n">
        <f aca="false">+'Corp I-S&amp;B-S'!J28</f>
        <v>414.37212</v>
      </c>
      <c r="E23" s="243" t="n">
        <f aca="false">+$D23*(E$26/$D$26)</f>
        <v>171.892385125411</v>
      </c>
      <c r="F23" s="245" t="s">
        <v>218</v>
      </c>
      <c r="G23" s="243" t="n">
        <f aca="false">+$D23*(G$26/$D$26)</f>
        <v>70.4991953003785</v>
      </c>
      <c r="H23" s="243" t="n">
        <f aca="false">+$D23*(H$26/$D$26)</f>
        <v>11.2926888765801</v>
      </c>
      <c r="I23" s="243" t="n">
        <f aca="false">+$D23*(I$26/$D$26)</f>
        <v>171.892385125411</v>
      </c>
      <c r="J23" s="243"/>
    </row>
    <row r="24" customFormat="false" ht="12.75" hidden="false" customHeight="false" outlineLevel="0" collapsed="false">
      <c r="B24" s="251" t="s">
        <v>319</v>
      </c>
      <c r="D24" s="243" t="n">
        <f aca="false">+'Corp I-S&amp;B-S'!J44</f>
        <v>1226.863</v>
      </c>
      <c r="E24" s="243" t="n">
        <f aca="false">+$D24*(E$26/$D$26)</f>
        <v>508.934836861413</v>
      </c>
      <c r="F24" s="243" t="n">
        <f aca="false">+'Sum of Parts-Slide'!D21</f>
        <v>101.728764863858</v>
      </c>
      <c r="G24" s="243" t="n">
        <f aca="false">+$D24*(G$26/$D$26)</f>
        <v>208.732320706828</v>
      </c>
      <c r="H24" s="243" t="n">
        <f aca="false">+$D24*(H$26/$D$26)</f>
        <v>33.4351214391251</v>
      </c>
      <c r="I24" s="243" t="n">
        <f aca="false">+$D24*(I$26/$D$26)</f>
        <v>508.934836861413</v>
      </c>
      <c r="J24" s="243"/>
    </row>
    <row r="25" customFormat="false" ht="12.75" hidden="false" customHeight="false" outlineLevel="0" collapsed="false">
      <c r="B25" s="223" t="s">
        <v>320</v>
      </c>
      <c r="D25" s="243" t="n">
        <f aca="false">+'Corp I-S&amp;B-S'!N56</f>
        <v>2638.367</v>
      </c>
      <c r="E25" s="243" t="n">
        <f aca="false">+$D25*(E$26/$D$26)</f>
        <v>1094.46358617509</v>
      </c>
      <c r="F25" s="243" t="n">
        <f aca="false">+$D25*(F26/$D$26)</f>
        <v>161.306295335038</v>
      </c>
      <c r="G25" s="243" t="n">
        <f aca="false">+$D25*(G$26/$D$26)</f>
        <v>448.878535571055</v>
      </c>
      <c r="H25" s="243" t="n">
        <f aca="false">+$D25*(H$26/$D$26)</f>
        <v>71.9021773792022</v>
      </c>
      <c r="I25" s="243" t="n">
        <f aca="false">+$D25*(I$26/$D$26)</f>
        <v>1094.46358617509</v>
      </c>
      <c r="J25" s="243"/>
    </row>
    <row r="26" customFormat="false" ht="15.75" hidden="false" customHeight="false" outlineLevel="0" collapsed="false">
      <c r="B26" s="251" t="s">
        <v>321</v>
      </c>
      <c r="D26" s="243" t="n">
        <f aca="false">+'Corp I-S&amp;B-S'!N20</f>
        <v>6168.418</v>
      </c>
      <c r="E26" s="243" t="n">
        <f aca="false">'Tax Basis'!H7</f>
        <v>2558.821</v>
      </c>
      <c r="F26" s="243" t="n">
        <f aca="false">'Tax Basis'!G7</f>
        <v>377.128980031194</v>
      </c>
      <c r="G26" s="243" t="n">
        <f aca="false">+'Tax Basis'!F7</f>
        <v>1049.463717</v>
      </c>
      <c r="H26" s="243" t="n">
        <f aca="false">'Tax Basis'!M7</f>
        <v>168.105000246389</v>
      </c>
      <c r="I26" s="243" t="n">
        <f aca="false">+'Tax Basis'!H7</f>
        <v>2558.821</v>
      </c>
      <c r="J26" s="243"/>
    </row>
    <row r="27" customFormat="false" ht="15.75" hidden="false" customHeight="false" outlineLevel="0" collapsed="false">
      <c r="B27" s="251" t="s">
        <v>322</v>
      </c>
      <c r="D27" s="243" t="n">
        <f aca="false">+'Sum of Parts-Slide'!D30+'Sum of Parts-Slide'!D36</f>
        <v>11289.25</v>
      </c>
      <c r="E27" s="243"/>
      <c r="F27" s="243"/>
      <c r="G27" s="243"/>
      <c r="H27" s="243" t="n">
        <f aca="false">+'Sum of Parts-Slide'!D36</f>
        <v>1785.84</v>
      </c>
      <c r="I27" s="243" t="n">
        <f aca="false">'Sum of Parts-Slide'!D30</f>
        <v>9503.41</v>
      </c>
      <c r="J27" s="243" t="n">
        <f aca="false">+'Sum of Parts-Slide'!D36</f>
        <v>1785.84</v>
      </c>
    </row>
    <row r="28" customFormat="false" ht="12.75" hidden="false" customHeight="false" outlineLevel="0" collapsed="false">
      <c r="B28" s="251"/>
      <c r="D28" s="243"/>
      <c r="E28" s="243"/>
      <c r="F28" s="243"/>
      <c r="G28" s="243"/>
      <c r="H28" s="240"/>
      <c r="I28" s="243"/>
    </row>
    <row r="29" customFormat="false" ht="15.75" hidden="false" customHeight="false" outlineLevel="0" collapsed="false">
      <c r="B29" s="252" t="s">
        <v>323</v>
      </c>
      <c r="D29" s="243"/>
      <c r="E29" s="243"/>
      <c r="F29" s="243"/>
      <c r="G29" s="243"/>
      <c r="I29" s="243"/>
    </row>
    <row r="30" customFormat="false" ht="15.75" hidden="false" customHeight="false" outlineLevel="0" collapsed="false">
      <c r="B30" s="236" t="s">
        <v>324</v>
      </c>
      <c r="D30" s="253" t="n">
        <f aca="false">+ABS(D14/D24)</f>
        <v>7.06757833596742</v>
      </c>
      <c r="E30" s="254" t="n">
        <f aca="false">+E14/E24</f>
        <v>3.04557654091594</v>
      </c>
      <c r="F30" s="253" t="n">
        <f aca="false">+F14/F24</f>
        <v>8.8470552179067</v>
      </c>
      <c r="G30" s="254" t="n">
        <f aca="false">+G14/G24</f>
        <v>8.62348482450958</v>
      </c>
      <c r="H30" s="254" t="n">
        <f aca="false">+H14/H24</f>
        <v>14.9543347976272</v>
      </c>
      <c r="I30" s="254" t="n">
        <f aca="false">+I14/I24</f>
        <v>14.7366606818513</v>
      </c>
      <c r="J30" s="254"/>
    </row>
    <row r="31" customFormat="false" ht="12.75" hidden="false" customHeight="false" outlineLevel="0" collapsed="false">
      <c r="B31" s="223" t="s">
        <v>325</v>
      </c>
      <c r="D31" s="254" t="n">
        <f aca="false">ABS(D14/D26)</f>
        <v>1.40570083934001</v>
      </c>
      <c r="E31" s="253" t="n">
        <f aca="false">+E14/E26</f>
        <v>0.605747725221889</v>
      </c>
      <c r="F31" s="254" t="n">
        <f aca="false">+F14/F26</f>
        <v>2.38645144673198</v>
      </c>
      <c r="G31" s="254" t="n">
        <f aca="false">+G14/G26</f>
        <v>1.71516172578647</v>
      </c>
      <c r="H31" s="254" t="n">
        <f aca="false">+H14/H26</f>
        <v>2.97433151463168</v>
      </c>
      <c r="I31" s="254" t="n">
        <f aca="false">+I14/I26</f>
        <v>2.93103738010592</v>
      </c>
      <c r="J31" s="254"/>
    </row>
    <row r="32" customFormat="false" ht="12.75" hidden="false" customHeight="false" outlineLevel="0" collapsed="false">
      <c r="B32" s="223" t="s">
        <v>326</v>
      </c>
      <c r="D32" s="254" t="n">
        <f aca="false">ABS(D12/D25)</f>
        <v>1.9411065102012</v>
      </c>
      <c r="E32" s="238" t="s">
        <v>218</v>
      </c>
      <c r="F32" s="238" t="s">
        <v>218</v>
      </c>
      <c r="G32" s="245" t="s">
        <v>218</v>
      </c>
      <c r="H32" s="245" t="s">
        <v>218</v>
      </c>
      <c r="I32" s="245" t="s">
        <v>218</v>
      </c>
      <c r="J32" s="254"/>
    </row>
    <row r="33" customFormat="false" ht="12.75" hidden="false" customHeight="false" outlineLevel="0" collapsed="false">
      <c r="B33" s="223" t="s">
        <v>327</v>
      </c>
      <c r="D33" s="253" t="n">
        <f aca="false">ABS(D12/D23)</f>
        <v>12.3593048682908</v>
      </c>
      <c r="E33" s="238" t="s">
        <v>218</v>
      </c>
      <c r="F33" s="238" t="s">
        <v>218</v>
      </c>
      <c r="G33" s="245" t="s">
        <v>218</v>
      </c>
      <c r="H33" s="245" t="s">
        <v>218</v>
      </c>
      <c r="I33" s="245" t="s">
        <v>218</v>
      </c>
      <c r="J33" s="254"/>
    </row>
    <row r="34" customFormat="false" ht="12.75" hidden="false" customHeight="false" outlineLevel="0" collapsed="false">
      <c r="B34" s="223" t="s">
        <v>328</v>
      </c>
      <c r="D34" s="245" t="s">
        <v>218</v>
      </c>
      <c r="E34" s="245" t="s">
        <v>218</v>
      </c>
      <c r="F34" s="245" t="s">
        <v>218</v>
      </c>
      <c r="G34" s="245" t="s">
        <v>218</v>
      </c>
      <c r="H34" s="245" t="s">
        <v>218</v>
      </c>
      <c r="I34" s="255" t="n">
        <f aca="false">I20/I27*1000</f>
        <v>678.516043532139</v>
      </c>
      <c r="J34" s="277" t="n">
        <f aca="false">-J20/J27*1000</f>
        <v>-619.159545170859</v>
      </c>
    </row>
    <row r="37" customFormat="false" ht="12.75" hidden="false" customHeight="false" outlineLevel="0" collapsed="false">
      <c r="A37" s="223" t="n">
        <v>1</v>
      </c>
      <c r="B37" s="236" t="s">
        <v>329</v>
      </c>
    </row>
    <row r="38" customFormat="false" ht="12.75" hidden="false" customHeight="false" outlineLevel="0" collapsed="false">
      <c r="A38" s="223" t="n">
        <v>2</v>
      </c>
      <c r="B38" s="236" t="s">
        <v>330</v>
      </c>
    </row>
    <row r="39" customFormat="false" ht="12.75" hidden="false" customHeight="false" outlineLevel="0" collapsed="false">
      <c r="A39" s="223" t="n">
        <v>3</v>
      </c>
      <c r="B39" s="223" t="s">
        <v>331</v>
      </c>
    </row>
    <row r="40" customFormat="false" ht="12.75" hidden="false" customHeight="false" outlineLevel="0" collapsed="false">
      <c r="A40" s="223" t="n">
        <v>4</v>
      </c>
      <c r="B40" s="3" t="s">
        <v>332</v>
      </c>
    </row>
    <row r="41" customFormat="false" ht="12.75" hidden="false" customHeight="false" outlineLevel="0" collapsed="false">
      <c r="A41" s="223" t="n">
        <v>5</v>
      </c>
      <c r="B41" s="223" t="s">
        <v>333</v>
      </c>
    </row>
    <row r="42" customFormat="false" ht="12.75" hidden="false" customHeight="false" outlineLevel="0" collapsed="false">
      <c r="A42" s="223" t="n">
        <v>6</v>
      </c>
      <c r="B42" s="236" t="s">
        <v>375</v>
      </c>
      <c r="N42" s="278"/>
    </row>
    <row r="43" customFormat="false" ht="12.75" hidden="false" customHeight="false" outlineLevel="0" collapsed="false">
      <c r="A43" s="223" t="n">
        <v>7</v>
      </c>
      <c r="B43" s="223" t="s">
        <v>335</v>
      </c>
    </row>
    <row r="44" customFormat="false" ht="12.75" hidden="false" customHeight="false" outlineLevel="0" collapsed="false">
      <c r="A44" s="223" t="n">
        <v>8</v>
      </c>
      <c r="B44" s="223" t="s">
        <v>336</v>
      </c>
    </row>
    <row r="45" customFormat="false" ht="12.75" hidden="false" customHeight="false" outlineLevel="0" collapsed="false">
      <c r="A45" s="223" t="n">
        <v>9</v>
      </c>
      <c r="B45" s="223" t="s">
        <v>337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&amp;L&amp;P&amp;C&amp;D&amp;T&amp;R&amp;F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1999-02-12T19:02:10Z</dcterms:created>
  <dc:creator>dkhamap</dc:creator>
  <dc:description/>
  <dc:language>en-US</dc:language>
  <cp:lastModifiedBy>Ibrahim Ali Qureishi</cp:lastModifiedBy>
  <cp:lastPrinted>2000-03-22T16:43:33Z</cp:lastPrinted>
  <cp:revision>0</cp:revision>
  <dc:subject/>
  <dc:title/>
</cp:coreProperties>
</file>