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T Plan" sheetId="1" state="visible" r:id="rId3"/>
    <sheet name="Assets" sheetId="2" state="visible" r:id="rId4"/>
    <sheet name="House" sheetId="3" state="visible" r:id="rId5"/>
    <sheet name="Fut.Budg" sheetId="4" state="visible" r:id="rId6"/>
    <sheet name="vesting" sheetId="5" state="visible" r:id="rId7"/>
    <sheet name="2001 cf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<sst xmlns="http://schemas.openxmlformats.org/spreadsheetml/2006/main" count="406" uniqueCount="362">
  <si>
    <t xml:space="preserve">Goals</t>
  </si>
  <si>
    <t xml:space="preserve">More family time</t>
  </si>
  <si>
    <t xml:space="preserve">Less stress</t>
  </si>
  <si>
    <t xml:space="preserve">Leave Houston</t>
  </si>
  <si>
    <t xml:space="preserve">More outdoor activity</t>
  </si>
  <si>
    <t xml:space="preserve">Heather's dream house</t>
  </si>
  <si>
    <t xml:space="preserve">More church/volunteer time</t>
  </si>
  <si>
    <t xml:space="preserve">Hobbies</t>
  </si>
  <si>
    <t xml:space="preserve">Find enjoyable part time work</t>
  </si>
  <si>
    <t xml:space="preserve">Grow investments($10 by 40, $25 by 50) </t>
  </si>
  <si>
    <t xml:space="preserve">Work</t>
  </si>
  <si>
    <t xml:space="preserve">Family</t>
  </si>
  <si>
    <t xml:space="preserve">Play</t>
  </si>
  <si>
    <t xml:space="preserve">Charity</t>
  </si>
  <si>
    <t xml:space="preserve">Coach</t>
  </si>
  <si>
    <t xml:space="preserve">Exercise</t>
  </si>
  <si>
    <t xml:space="preserve">Money</t>
  </si>
  <si>
    <t xml:space="preserve">Own Prop.</t>
  </si>
  <si>
    <t xml:space="preserve">Education</t>
  </si>
  <si>
    <t xml:space="preserve">Bike</t>
  </si>
  <si>
    <t xml:space="preserve">Time</t>
  </si>
  <si>
    <t xml:space="preserve">Teach</t>
  </si>
  <si>
    <t xml:space="preserve">Camp</t>
  </si>
  <si>
    <t xml:space="preserve">Golf/Tennis</t>
  </si>
  <si>
    <t xml:space="preserve">Church</t>
  </si>
  <si>
    <t xml:space="preserve">Real Est.</t>
  </si>
  <si>
    <t xml:space="preserve">Tennis</t>
  </si>
  <si>
    <t xml:space="preserve">Habitat </t>
  </si>
  <si>
    <t xml:space="preserve">Develop</t>
  </si>
  <si>
    <t xml:space="preserve">Golf</t>
  </si>
  <si>
    <t xml:space="preserve">Music Lesson</t>
  </si>
  <si>
    <t xml:space="preserve">House Bldr</t>
  </si>
  <si>
    <t xml:space="preserve">Lots of time</t>
  </si>
  <si>
    <t xml:space="preserve">Trade</t>
  </si>
  <si>
    <t xml:space="preserve">Boating</t>
  </si>
  <si>
    <t xml:space="preserve">Accountant</t>
  </si>
  <si>
    <t xml:space="preserve">Summer trips</t>
  </si>
  <si>
    <t xml:space="preserve">Enron??</t>
  </si>
  <si>
    <t xml:space="preserve">H-dream house</t>
  </si>
  <si>
    <t xml:space="preserve">Trade?</t>
  </si>
  <si>
    <t xml:space="preserve">Dream day</t>
  </si>
  <si>
    <t xml:space="preserve">6:00-7:15</t>
  </si>
  <si>
    <t xml:space="preserve">Exercise(lift)</t>
  </si>
  <si>
    <t xml:space="preserve">7:15-8:15</t>
  </si>
  <si>
    <t xml:space="preserve">Breakfast &amp; Dressed</t>
  </si>
  <si>
    <t xml:space="preserve">8:30-12:00</t>
  </si>
  <si>
    <t xml:space="preserve">12:00-1:00</t>
  </si>
  <si>
    <t xml:space="preserve">Lunch&amp;run/bike</t>
  </si>
  <si>
    <t xml:space="preserve">Retirement Funds</t>
  </si>
  <si>
    <t xml:space="preserve">Years before 55</t>
  </si>
  <si>
    <t xml:space="preserve">Aggressive Capital</t>
  </si>
  <si>
    <t xml:space="preserve">1:00-3:00</t>
  </si>
  <si>
    <t xml:space="preserve">Afternoon Activity</t>
  </si>
  <si>
    <t xml:space="preserve">3:30-5:30</t>
  </si>
  <si>
    <t xml:space="preserve">Take kids to practice</t>
  </si>
  <si>
    <t xml:space="preserve">Return</t>
  </si>
  <si>
    <t xml:space="preserve">inflation rate</t>
  </si>
  <si>
    <t xml:space="preserve">5:30-7:00</t>
  </si>
  <si>
    <t xml:space="preserve">Dinner/Clean up</t>
  </si>
  <si>
    <t xml:space="preserve">Tax rate</t>
  </si>
  <si>
    <t xml:space="preserve">Total</t>
  </si>
  <si>
    <t xml:space="preserve">7:00-9:00</t>
  </si>
  <si>
    <t xml:space="preserve">Homework/Relax</t>
  </si>
  <si>
    <t xml:space="preserve">Age</t>
  </si>
  <si>
    <t xml:space="preserve">beg. Princ</t>
  </si>
  <si>
    <t xml:space="preserve">earnings</t>
  </si>
  <si>
    <t xml:space="preserve">income required</t>
  </si>
  <si>
    <t xml:space="preserve">tax</t>
  </si>
  <si>
    <t xml:space="preserve">drawdown</t>
  </si>
  <si>
    <t xml:space="preserve">age</t>
  </si>
  <si>
    <t xml:space="preserve">Investments</t>
  </si>
  <si>
    <t xml:space="preserve">9:00</t>
  </si>
  <si>
    <t xml:space="preserve">Bed time</t>
  </si>
  <si>
    <t xml:space="preserve">ENE</t>
  </si>
  <si>
    <t xml:space="preserve">1/2003</t>
  </si>
  <si>
    <t xml:space="preserve">1/2004</t>
  </si>
  <si>
    <t xml:space="preserve">RETIREMENT</t>
  </si>
  <si>
    <t xml:space="preserve">INCOME</t>
  </si>
  <si>
    <t xml:space="preserve">COLLEGE</t>
  </si>
  <si>
    <t xml:space="preserve">HOUSE</t>
  </si>
  <si>
    <t xml:space="preserve">Date</t>
  </si>
  <si>
    <t xml:space="preserve">Account</t>
  </si>
  <si>
    <t xml:space="preserve">Pre tax</t>
  </si>
  <si>
    <t xml:space="preserve">After tax</t>
  </si>
  <si>
    <t xml:space="preserve">4/21/99</t>
  </si>
  <si>
    <t xml:space="preserve">  Compass Bank (0077056025)</t>
  </si>
  <si>
    <t xml:space="preserve">12.31.99</t>
  </si>
  <si>
    <t xml:space="preserve">Futures Account(ED&amp;F Man 816 006 00569)</t>
  </si>
  <si>
    <t xml:space="preserve">401-K</t>
  </si>
  <si>
    <t xml:space="preserve">ESOP</t>
  </si>
  <si>
    <t xml:space="preserve">Cash Plan</t>
  </si>
  <si>
    <t xml:space="preserve">        Total</t>
  </si>
  <si>
    <t xml:space="preserve">Intrinsic</t>
  </si>
  <si>
    <t xml:space="preserve">Paine Webber</t>
  </si>
  <si>
    <t xml:space="preserve">Premium</t>
  </si>
  <si>
    <t xml:space="preserve">Value</t>
  </si>
  <si>
    <t xml:space="preserve">Jan 2002</t>
  </si>
  <si>
    <t xml:space="preserve">1/23/01</t>
  </si>
  <si>
    <t xml:space="preserve">Short Jan 02 $90 calls</t>
  </si>
  <si>
    <t xml:space="preserve">3/12/01</t>
  </si>
  <si>
    <t xml:space="preserve">Short Jan 02 $60 calls</t>
  </si>
  <si>
    <t xml:space="preserve">3/19/01</t>
  </si>
  <si>
    <t xml:space="preserve">Short Jan 02 $70 calls</t>
  </si>
  <si>
    <t xml:space="preserve">4/16/01</t>
  </si>
  <si>
    <t xml:space="preserve">Short Jan 02 $80 calls</t>
  </si>
  <si>
    <t xml:space="preserve">Short Jan 02 $50 puts</t>
  </si>
  <si>
    <t xml:space="preserve">6/19/01</t>
  </si>
  <si>
    <t xml:space="preserve">Short Jan 02 $50 calls</t>
  </si>
  <si>
    <t xml:space="preserve">Jan 2003</t>
  </si>
  <si>
    <t xml:space="preserve">6/7/01</t>
  </si>
  <si>
    <t xml:space="preserve">Short Jan 03 $45 calls</t>
  </si>
  <si>
    <t xml:space="preserve">Short Jan 03 $50 calls</t>
  </si>
  <si>
    <t xml:space="preserve">Short Jan 03 $60 calls</t>
  </si>
  <si>
    <t xml:space="preserve">6/14/01</t>
  </si>
  <si>
    <t xml:space="preserve">Short Jan 03 $65 calls</t>
  </si>
  <si>
    <t xml:space="preserve">6/6/01</t>
  </si>
  <si>
    <t xml:space="preserve">Short Jan 03 $75 calls</t>
  </si>
  <si>
    <t xml:space="preserve">US Treasury Notes</t>
  </si>
  <si>
    <t xml:space="preserve">Money Markets(plug to make d45 equal 0)</t>
  </si>
  <si>
    <t xml:space="preserve">Per Paine Weber</t>
  </si>
  <si>
    <t xml:space="preserve">Option Premium</t>
  </si>
  <si>
    <t xml:space="preserve">Taxes</t>
  </si>
  <si>
    <t xml:space="preserve">After Tax Paine Webber</t>
  </si>
  <si>
    <t xml:space="preserve">Difference from detail</t>
  </si>
  <si>
    <t xml:space="preserve">Bishops Corner</t>
  </si>
  <si>
    <t xml:space="preserve">Leander Land</t>
  </si>
  <si>
    <t xml:space="preserve">AETNA 4504795869998</t>
  </si>
  <si>
    <t xml:space="preserve">WATERHOUSE(350-39877-1-5)</t>
  </si>
  <si>
    <t xml:space="preserve">SMITH BARNEY(104-17191-11 467)</t>
  </si>
  <si>
    <t xml:space="preserve">Account Value</t>
  </si>
  <si>
    <t xml:space="preserve">Remaining Option Premium</t>
  </si>
  <si>
    <t xml:space="preserve">Tax on Gains</t>
  </si>
  <si>
    <t xml:space="preserve">       Total S. B.</t>
  </si>
  <si>
    <t xml:space="preserve">IRA</t>
  </si>
  <si>
    <t xml:space="preserve">   Schwab-Phillip</t>
  </si>
  <si>
    <t xml:space="preserve">MSFT</t>
  </si>
  <si>
    <t xml:space="preserve">SPY</t>
  </si>
  <si>
    <t xml:space="preserve">CASH</t>
  </si>
  <si>
    <t xml:space="preserve">   Schwab-Heather</t>
  </si>
  <si>
    <t xml:space="preserve">1.14.00</t>
  </si>
  <si>
    <t xml:space="preserve">qqq</t>
  </si>
  <si>
    <t xml:space="preserve">American Century Mutual Fund</t>
  </si>
  <si>
    <t xml:space="preserve">3/31/99</t>
  </si>
  <si>
    <t xml:space="preserve">   022-001060395</t>
  </si>
  <si>
    <t xml:space="preserve">   022-001562819</t>
  </si>
  <si>
    <t xml:space="preserve">      Total College</t>
  </si>
  <si>
    <t xml:space="preserve">Vanguard Index 500 (9900359140)</t>
  </si>
  <si>
    <t xml:space="preserve">Janus </t>
  </si>
  <si>
    <t xml:space="preserve">   Twenty</t>
  </si>
  <si>
    <t xml:space="preserve">   Mercury</t>
  </si>
  <si>
    <t xml:space="preserve">   Enterprise</t>
  </si>
  <si>
    <t xml:space="preserve">     Total Janus</t>
  </si>
  <si>
    <t xml:space="preserve">2nd Baptist</t>
  </si>
  <si>
    <t xml:space="preserve">   Fidelity Magellan</t>
  </si>
  <si>
    <t xml:space="preserve">   Fidelity Contrafund</t>
  </si>
  <si>
    <t xml:space="preserve">   Fidelity Pacific Basin</t>
  </si>
  <si>
    <t xml:space="preserve">      Total</t>
  </si>
  <si>
    <t xml:space="preserve">Long Term Comp</t>
  </si>
  <si>
    <t xml:space="preserve">97 Phantom</t>
  </si>
  <si>
    <t xml:space="preserve">98 Phantom</t>
  </si>
  <si>
    <t xml:space="preserve">99 Phantom</t>
  </si>
  <si>
    <t xml:space="preserve">Deferral Plan 463-06-5796</t>
  </si>
  <si>
    <t xml:space="preserve">Stage Coach Inn</t>
  </si>
  <si>
    <t xml:space="preserve">Grand Total</t>
  </si>
  <si>
    <t xml:space="preserve">Jan 02 vesting</t>
  </si>
  <si>
    <t xml:space="preserve">   total</t>
  </si>
  <si>
    <t xml:space="preserve">2/01/2002</t>
  </si>
  <si>
    <t xml:space="preserve">2/01/2003</t>
  </si>
  <si>
    <t xml:space="preserve">2/01/2004</t>
  </si>
  <si>
    <t xml:space="preserve">2/01/2005</t>
  </si>
  <si>
    <t xml:space="preserve">01 deferred Salary</t>
  </si>
  <si>
    <t xml:space="preserve">02 Bonus</t>
  </si>
  <si>
    <t xml:space="preserve">97 OPT-1/31/02 vest</t>
  </si>
  <si>
    <t xml:space="preserve">98 OPT-1/31/02 vest</t>
  </si>
  <si>
    <t xml:space="preserve">98 OPT-1/31/03 vest</t>
  </si>
  <si>
    <t xml:space="preserve">99 OPT-1/31/02 vest</t>
  </si>
  <si>
    <t xml:space="preserve">99 OPT-1/31/03 vest</t>
  </si>
  <si>
    <t xml:space="preserve">99 OPT-1/31/04 vest</t>
  </si>
  <si>
    <t xml:space="preserve">00 OPT</t>
  </si>
  <si>
    <t xml:space="preserve">8/00 options</t>
  </si>
  <si>
    <t xml:space="preserve">1/01 options</t>
  </si>
  <si>
    <t xml:space="preserve">1/01 PHANT</t>
  </si>
  <si>
    <t xml:space="preserve">3/01 options(60)</t>
  </si>
  <si>
    <t xml:space="preserve">3/01 restricted</t>
  </si>
  <si>
    <t xml:space="preserve">TOTAL UNEARNED</t>
  </si>
  <si>
    <t xml:space="preserve">Adjusted Total</t>
  </si>
  <si>
    <t xml:space="preserve"> </t>
  </si>
  <si>
    <t xml:space="preserve">after tax</t>
  </si>
  <si>
    <t xml:space="preserve">QQQ</t>
  </si>
  <si>
    <t xml:space="preserve">   MSFT</t>
  </si>
  <si>
    <t xml:space="preserve">    CSCO</t>
  </si>
  <si>
    <t xml:space="preserve">AMGN</t>
  </si>
  <si>
    <t xml:space="preserve">    C</t>
  </si>
  <si>
    <t xml:space="preserve">CLRS</t>
  </si>
  <si>
    <t xml:space="preserve">.</t>
  </si>
  <si>
    <t xml:space="preserve">NT</t>
  </si>
  <si>
    <t xml:space="preserve">WCOM</t>
  </si>
  <si>
    <t xml:space="preserve">    AXP</t>
  </si>
  <si>
    <t xml:space="preserve">JDSU</t>
  </si>
  <si>
    <t xml:space="preserve">    GE</t>
  </si>
  <si>
    <t xml:space="preserve">case 1</t>
  </si>
  <si>
    <t xml:space="preserve">case 2</t>
  </si>
  <si>
    <t xml:space="preserve">land</t>
  </si>
  <si>
    <t xml:space="preserve">interim</t>
  </si>
  <si>
    <t xml:space="preserve">common areas</t>
  </si>
  <si>
    <t xml:space="preserve">sitework</t>
  </si>
  <si>
    <t xml:space="preserve">unit cost</t>
  </si>
  <si>
    <t xml:space="preserve">profit &amp; overhead(15%)</t>
  </si>
  <si>
    <t xml:space="preserve">total</t>
  </si>
  <si>
    <t xml:space="preserve">cost/unit (134)</t>
  </si>
  <si>
    <t xml:space="preserve">loan amount(80%cost)</t>
  </si>
  <si>
    <t xml:space="preserve">NOI</t>
  </si>
  <si>
    <t xml:space="preserve">appraisal</t>
  </si>
  <si>
    <t xml:space="preserve">perm. Loan amount</t>
  </si>
  <si>
    <t xml:space="preserve">debt service</t>
  </si>
  <si>
    <t xml:space="preserve">cash after d.s.</t>
  </si>
  <si>
    <t xml:space="preserve">invested equity</t>
  </si>
  <si>
    <t xml:space="preserve">Goal</t>
  </si>
  <si>
    <t xml:space="preserve">minimum</t>
  </si>
  <si>
    <t xml:space="preserve">goal</t>
  </si>
  <si>
    <t xml:space="preserve">House</t>
  </si>
  <si>
    <t xml:space="preserve">Retirement(Stock)</t>
  </si>
  <si>
    <t xml:space="preserve">Bond Income</t>
  </si>
  <si>
    <t xml:space="preserve"># of units</t>
  </si>
  <si>
    <t xml:space="preserve">per unit cost</t>
  </si>
  <si>
    <t xml:space="preserve">Total cost</t>
  </si>
  <si>
    <t xml:space="preserve">Slab</t>
  </si>
  <si>
    <t xml:space="preserve">Frame Materials</t>
  </si>
  <si>
    <t xml:space="preserve">Frame Labor</t>
  </si>
  <si>
    <t xml:space="preserve">Perimeter Panels</t>
  </si>
  <si>
    <t xml:space="preserve">Roof Panels</t>
  </si>
  <si>
    <t xml:space="preserve">Panel Beams</t>
  </si>
  <si>
    <t xml:space="preserve">Windows</t>
  </si>
  <si>
    <t xml:space="preserve">roof</t>
  </si>
  <si>
    <t xml:space="preserve">outside w</t>
  </si>
  <si>
    <t xml:space="preserve">exterior</t>
  </si>
  <si>
    <t xml:space="preserve">inside w</t>
  </si>
  <si>
    <t xml:space="preserve">a/c</t>
  </si>
  <si>
    <t xml:space="preserve">end wall</t>
  </si>
  <si>
    <t xml:space="preserve">air exchanger</t>
  </si>
  <si>
    <t xml:space="preserve">plumb</t>
  </si>
  <si>
    <t xml:space="preserve">electric</t>
  </si>
  <si>
    <t xml:space="preserve">garage doors</t>
  </si>
  <si>
    <t xml:space="preserve">floor</t>
  </si>
  <si>
    <t xml:space="preserve">ext door</t>
  </si>
  <si>
    <t xml:space="preserve">cabinet-kitchen</t>
  </si>
  <si>
    <t xml:space="preserve">windows</t>
  </si>
  <si>
    <t xml:space="preserve">counter-kitchen</t>
  </si>
  <si>
    <t xml:space="preserve">Cabinet-wetbar</t>
  </si>
  <si>
    <t xml:space="preserve">Counter-wetbar</t>
  </si>
  <si>
    <t xml:space="preserve">Appliance -wetbar</t>
  </si>
  <si>
    <t xml:space="preserve">Cabinet-entertainment</t>
  </si>
  <si>
    <t xml:space="preserve">Bookshelves(living)</t>
  </si>
  <si>
    <t xml:space="preserve">Computer Nook</t>
  </si>
  <si>
    <t xml:space="preserve">Office desk</t>
  </si>
  <si>
    <t xml:space="preserve">appliances</t>
  </si>
  <si>
    <t xml:space="preserve">lights&amp;fans</t>
  </si>
  <si>
    <t xml:space="preserve">sheetrock</t>
  </si>
  <si>
    <t xml:space="preserve">Sound board</t>
  </si>
  <si>
    <t xml:space="preserve">interior doors</t>
  </si>
  <si>
    <t xml:space="preserve">Front door</t>
  </si>
  <si>
    <t xml:space="preserve">exterior doors</t>
  </si>
  <si>
    <t xml:space="preserve">trim</t>
  </si>
  <si>
    <t xml:space="preserve">fireplaces</t>
  </si>
  <si>
    <t xml:space="preserve">stairs+railings</t>
  </si>
  <si>
    <t xml:space="preserve">garage door</t>
  </si>
  <si>
    <t xml:space="preserve">4 baths</t>
  </si>
  <si>
    <t xml:space="preserve">paint</t>
  </si>
  <si>
    <t xml:space="preserve">insulation</t>
  </si>
  <si>
    <t xml:space="preserve">driveway</t>
  </si>
  <si>
    <t xml:space="preserve">landscape</t>
  </si>
  <si>
    <t xml:space="preserve">Gutters</t>
  </si>
  <si>
    <t xml:space="preserve">Porches</t>
  </si>
  <si>
    <t xml:space="preserve">Trash &amp; Clean up</t>
  </si>
  <si>
    <t xml:space="preserve">Insurance</t>
  </si>
  <si>
    <t xml:space="preserve">Job toilet</t>
  </si>
  <si>
    <t xml:space="preserve">Water tap &amp; electic </t>
  </si>
  <si>
    <t xml:space="preserve">Permits</t>
  </si>
  <si>
    <t xml:space="preserve">Septic</t>
  </si>
  <si>
    <t xml:space="preserve">Hard cost-subtotal</t>
  </si>
  <si>
    <t xml:space="preserve">contractor fee</t>
  </si>
  <si>
    <t xml:space="preserve">design</t>
  </si>
  <si>
    <t xml:space="preserve">Per sq. ft.</t>
  </si>
  <si>
    <t xml:space="preserve">Pool</t>
  </si>
  <si>
    <t xml:space="preserve">Land</t>
  </si>
  <si>
    <t xml:space="preserve">Per Square foot</t>
  </si>
  <si>
    <t xml:space="preserve">San Marcos</t>
  </si>
  <si>
    <t xml:space="preserve">Real Estate Tax</t>
  </si>
  <si>
    <t xml:space="preserve">House Insurance</t>
  </si>
  <si>
    <t xml:space="preserve">Electric</t>
  </si>
  <si>
    <t xml:space="preserve">Gas/Propane</t>
  </si>
  <si>
    <t xml:space="preserve">Phone</t>
  </si>
  <si>
    <t xml:space="preserve">Internet</t>
  </si>
  <si>
    <t xml:space="preserve">Water</t>
  </si>
  <si>
    <t xml:space="preserve">Car Insurance</t>
  </si>
  <si>
    <t xml:space="preserve">Gas</t>
  </si>
  <si>
    <t xml:space="preserve">Car Maintenance</t>
  </si>
  <si>
    <t xml:space="preserve">Groceries</t>
  </si>
  <si>
    <t xml:space="preserve">Entertain</t>
  </si>
  <si>
    <t xml:space="preserve">Clothes</t>
  </si>
  <si>
    <t xml:space="preserve">Household</t>
  </si>
  <si>
    <t xml:space="preserve">Medical</t>
  </si>
  <si>
    <t xml:space="preserve">Vacation</t>
  </si>
  <si>
    <t xml:space="preserve">Gifts</t>
  </si>
  <si>
    <t xml:space="preserve">X-mas</t>
  </si>
  <si>
    <t xml:space="preserve">Kids School</t>
  </si>
  <si>
    <t xml:space="preserve">Kids Activities</t>
  </si>
  <si>
    <t xml:space="preserve">Pool/Country Club</t>
  </si>
  <si>
    <t xml:space="preserve">Misc</t>
  </si>
  <si>
    <t xml:space="preserve">Total Monthly</t>
  </si>
  <si>
    <t xml:space="preserve">Total Annual</t>
  </si>
  <si>
    <t xml:space="preserve">Stocks</t>
  </si>
  <si>
    <t xml:space="preserve">Real Estate</t>
  </si>
  <si>
    <t xml:space="preserve">Bonds</t>
  </si>
  <si>
    <t xml:space="preserve">Property</t>
  </si>
  <si>
    <t xml:space="preserve">value</t>
  </si>
  <si>
    <t xml:space="preserve">Bishop</t>
  </si>
  <si>
    <t xml:space="preserve">San Antonio</t>
  </si>
  <si>
    <t xml:space="preserve">123</t>
  </si>
  <si>
    <t xml:space="preserve">Townhouse</t>
  </si>
  <si>
    <t xml:space="preserve">Scott</t>
  </si>
  <si>
    <t xml:space="preserve">Harvey</t>
  </si>
  <si>
    <t xml:space="preserve">  Total</t>
  </si>
  <si>
    <t xml:space="preserve">Proposed </t>
  </si>
  <si>
    <t xml:space="preserve">strike</t>
  </si>
  <si>
    <t xml:space="preserve">1/2002</t>
  </si>
  <si>
    <t xml:space="preserve">8/2002</t>
  </si>
  <si>
    <t xml:space="preserve">Deep in Money</t>
  </si>
  <si>
    <t xml:space="preserve">=</t>
  </si>
  <si>
    <t xml:space="preserve">Out of Money</t>
  </si>
  <si>
    <t xml:space="preserve">1/02 $90 calls</t>
  </si>
  <si>
    <t xml:space="preserve">ene shares</t>
  </si>
  <si>
    <t xml:space="preserve">1/02 $70 calls</t>
  </si>
  <si>
    <t xml:space="preserve">1/02 $50 calls</t>
  </si>
  <si>
    <t xml:space="preserve">subtotal</t>
  </si>
  <si>
    <t xml:space="preserve">00 bonus phan.</t>
  </si>
  <si>
    <t xml:space="preserve">total if phantom</t>
  </si>
  <si>
    <t xml:space="preserve">Cash on hand</t>
  </si>
  <si>
    <t xml:space="preserve">checking</t>
  </si>
  <si>
    <t xml:space="preserve">paine webber</t>
  </si>
  <si>
    <t xml:space="preserve">smith barney</t>
  </si>
  <si>
    <t xml:space="preserve">buy lot</t>
  </si>
  <si>
    <t xml:space="preserve">site work on bishop corner</t>
  </si>
  <si>
    <t xml:space="preserve">sell leander</t>
  </si>
  <si>
    <t xml:space="preserve">close bishop corner</t>
  </si>
  <si>
    <t xml:space="preserve">close new braunfels</t>
  </si>
  <si>
    <t xml:space="preserve">build house</t>
  </si>
  <si>
    <t xml:space="preserve">sell lot</t>
  </si>
  <si>
    <t xml:space="preserve">Leander</t>
  </si>
  <si>
    <t xml:space="preserve">Sales Price</t>
  </si>
  <si>
    <t xml:space="preserve">Road Escrow</t>
  </si>
  <si>
    <t xml:space="preserve">Commission</t>
  </si>
  <si>
    <t xml:space="preserve">Other Fees</t>
  </si>
  <si>
    <t xml:space="preserve">Loan</t>
  </si>
  <si>
    <t xml:space="preserve">Subtotal</t>
  </si>
  <si>
    <t xml:space="preserve">Gain</t>
  </si>
  <si>
    <t xml:space="preserve">tax on gain</t>
  </si>
  <si>
    <t xml:space="preserve">Net Cash</t>
  </si>
  <si>
    <t xml:space="preserve">Keith Share</t>
  </si>
  <si>
    <t xml:space="preserve">My share</t>
  </si>
  <si>
    <t xml:space="preserve">My share of taxes</t>
  </si>
  <si>
    <t xml:space="preserve">My after tax gain</t>
  </si>
</sst>
</file>

<file path=xl/styles.xml><?xml version="1.0" encoding="utf-8"?>
<styleSheet xmlns="http://schemas.openxmlformats.org/spreadsheetml/2006/main">
  <numFmts count="9">
    <numFmt numFmtId="164" formatCode="0_)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0%"/>
    <numFmt numFmtId="169" formatCode="0.0%"/>
    <numFmt numFmtId="170" formatCode="0.0_)"/>
    <numFmt numFmtId="171" formatCode="mm/dd/yy"/>
    <numFmt numFmtId="172" formatCode="0.000_)"/>
  </numFmts>
  <fonts count="12">
    <font>
      <sz val="12"/>
      <name val="Arial MT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name val="Arial MT"/>
      <family val="0"/>
    </font>
    <font>
      <u val="single"/>
      <sz val="12"/>
      <name val="Arial MT"/>
      <family val="0"/>
    </font>
    <font>
      <b val="true"/>
      <sz val="12"/>
      <name val="Arial MT"/>
      <family val="0"/>
    </font>
    <font>
      <sz val="12"/>
      <color rgb="FF000000"/>
      <name val="Arial MT"/>
      <family val="0"/>
    </font>
    <font>
      <b val="true"/>
      <sz val="12"/>
      <color rgb="FF000000"/>
      <name val="Arial MT"/>
      <family val="0"/>
    </font>
    <font>
      <b val="true"/>
      <u val="single"/>
      <sz val="12"/>
      <color rgb="FF000000"/>
      <name val="Arial MT"/>
      <family val="0"/>
    </font>
    <font>
      <u val="single"/>
      <sz val="12"/>
      <color rgb="FF000000"/>
      <name val="Arial MT"/>
      <family val="0"/>
    </font>
    <font>
      <sz val="12"/>
      <color rgb="FFFF0000"/>
      <name val="Arial MT"/>
      <family val="0"/>
    </font>
  </fonts>
  <fills count="8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339966"/>
        <bgColor rgb="FF008080"/>
      </patternFill>
    </fill>
    <fill>
      <patternFill patternType="solid">
        <fgColor rgb="FF00FFFF"/>
        <bgColor rgb="FF00FFFF"/>
      </patternFill>
    </fill>
    <fill>
      <patternFill patternType="solid">
        <fgColor rgb="FFFF6600"/>
        <bgColor rgb="FFFF99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2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3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7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2" min="2" style="0" width="10.11"/>
    <col collapsed="false" customWidth="true" hidden="false" outlineLevel="0" max="3" min="3" style="0" width="9.65"/>
    <col collapsed="false" customWidth="true" hidden="false" outlineLevel="0" max="4" min="4" style="0" width="10.65"/>
    <col collapsed="false" customWidth="true" hidden="false" outlineLevel="0" max="6" min="6" style="0" width="12.55"/>
    <col collapsed="false" customWidth="true" hidden="false" outlineLevel="0" max="7" min="7" style="0" width="10.99"/>
    <col collapsed="false" customWidth="true" hidden="false" outlineLevel="0" max="8" min="8" style="1" width="14.21"/>
    <col collapsed="false" customWidth="true" hidden="false" outlineLevel="0" max="9" min="9" style="1" width="12.88"/>
    <col collapsed="false" customWidth="true" hidden="false" outlineLevel="0" max="10" min="10" style="1" width="11.32"/>
    <col collapsed="false" customWidth="true" hidden="false" outlineLevel="0" max="11" min="11" style="0" width="9.77"/>
    <col collapsed="false" customWidth="true" hidden="false" outlineLevel="0" max="12" min="12" style="1" width="6.55"/>
    <col collapsed="false" customWidth="true" hidden="false" outlineLevel="0" max="14" min="13" style="1" width="15.88"/>
    <col collapsed="false" customWidth="true" hidden="false" outlineLevel="0" max="15" min="15" style="0" width="10.99"/>
    <col collapsed="false" customWidth="true" hidden="false" outlineLevel="0" max="16" min="16" style="0" width="11.88"/>
    <col collapsed="false" customWidth="true" hidden="false" outlineLevel="0" max="17" min="17" style="0" width="12.21"/>
    <col collapsed="false" customWidth="true" hidden="false" outlineLevel="0" max="18" min="18" style="0" width="11.76"/>
    <col collapsed="false" customWidth="true" hidden="false" outlineLevel="0" max="19" min="19" style="0" width="10.88"/>
    <col collapsed="false" customWidth="true" hidden="false" outlineLevel="0" max="21" min="21" style="0" width="4.88"/>
    <col collapsed="false" customWidth="true" hidden="false" outlineLevel="0" max="22" min="22" style="0" width="10.99"/>
    <col collapsed="false" customWidth="true" hidden="false" outlineLevel="0" max="24" min="24" style="0" width="13.88"/>
    <col collapsed="false" customWidth="true" hidden="false" outlineLevel="0" max="25" min="25" style="0" width="12.55"/>
    <col collapsed="false" customWidth="true" hidden="false" outlineLevel="0" max="26" min="26" style="0" width="10.99"/>
    <col collapsed="false" customWidth="true" hidden="false" outlineLevel="0" max="29" min="29" style="0" width="18.33"/>
  </cols>
  <sheetData>
    <row r="1" customFormat="false" ht="20.25" hidden="false" customHeight="false" outlineLevel="0" collapsed="false">
      <c r="A1" s="2" t="s">
        <v>0</v>
      </c>
      <c r="C1" s="2"/>
      <c r="D1" s="2"/>
      <c r="I1" s="3"/>
    </row>
    <row r="2" customFormat="false" ht="17.25" hidden="false" customHeight="false" outlineLevel="0" collapsed="false">
      <c r="A2" s="0" t="s">
        <v>1</v>
      </c>
      <c r="C2" s="4"/>
      <c r="F2" s="5"/>
      <c r="K2" s="6"/>
    </row>
    <row r="3" customFormat="false" ht="15" hidden="false" customHeight="false" outlineLevel="0" collapsed="false">
      <c r="A3" s="0" t="s">
        <v>2</v>
      </c>
      <c r="C3" s="4"/>
    </row>
    <row r="4" customFormat="false" ht="15" hidden="false" customHeight="false" outlineLevel="0" collapsed="false">
      <c r="A4" s="0" t="s">
        <v>3</v>
      </c>
      <c r="C4" s="4"/>
      <c r="D4" s="4"/>
      <c r="S4" s="0" t="n">
        <v>700000</v>
      </c>
    </row>
    <row r="5" customFormat="false" ht="15" hidden="false" customHeight="false" outlineLevel="0" collapsed="false">
      <c r="A5" s="0" t="s">
        <v>4</v>
      </c>
      <c r="C5" s="4"/>
      <c r="D5" s="7"/>
      <c r="F5" s="8"/>
      <c r="S5" s="0" t="n">
        <f aca="false">4*20</f>
        <v>80</v>
      </c>
    </row>
    <row r="6" customFormat="false" ht="15" hidden="false" customHeight="false" outlineLevel="0" collapsed="false">
      <c r="A6" s="0" t="s">
        <v>5</v>
      </c>
      <c r="C6" s="4"/>
      <c r="D6" s="4"/>
      <c r="S6" s="0" t="n">
        <f aca="false">+S4/S5</f>
        <v>8750</v>
      </c>
    </row>
    <row r="7" customFormat="false" ht="15" hidden="false" customHeight="false" outlineLevel="0" collapsed="false">
      <c r="A7" s="0" t="s">
        <v>6</v>
      </c>
      <c r="C7" s="4"/>
      <c r="D7" s="7"/>
    </row>
    <row r="8" customFormat="false" ht="15" hidden="false" customHeight="false" outlineLevel="0" collapsed="false">
      <c r="A8" s="0" t="s">
        <v>7</v>
      </c>
      <c r="C8" s="4"/>
      <c r="D8" s="4"/>
    </row>
    <row r="9" customFormat="false" ht="15" hidden="false" customHeight="false" outlineLevel="0" collapsed="false">
      <c r="A9" s="0" t="s">
        <v>8</v>
      </c>
      <c r="C9" s="4"/>
      <c r="D9" s="4"/>
    </row>
    <row r="10" customFormat="false" ht="15" hidden="false" customHeight="false" outlineLevel="0" collapsed="false">
      <c r="A10" s="0" t="s">
        <v>9</v>
      </c>
      <c r="C10" s="4"/>
      <c r="D10" s="4"/>
      <c r="E10" s="4"/>
    </row>
    <row r="11" customFormat="false" ht="15" hidden="false" customHeight="false" outlineLevel="0" collapsed="false">
      <c r="C11" s="4"/>
      <c r="D11" s="4"/>
      <c r="E11" s="4"/>
    </row>
    <row r="12" customFormat="false" ht="15" hidden="false" customHeight="false" outlineLevel="0" collapsed="false">
      <c r="C12" s="4"/>
      <c r="D12" s="4"/>
      <c r="E12" s="4"/>
    </row>
    <row r="13" customFormat="false" ht="15" hidden="false" customHeight="false" outlineLevel="0" collapsed="false">
      <c r="C13" s="4"/>
      <c r="D13" s="4"/>
      <c r="E13" s="4"/>
    </row>
    <row r="15" customFormat="false" ht="15.75" hidden="false" customHeight="false" outlineLevel="0" collapsed="false">
      <c r="B15" s="2" t="s">
        <v>10</v>
      </c>
      <c r="C15" s="2" t="s">
        <v>11</v>
      </c>
      <c r="D15" s="2" t="s">
        <v>12</v>
      </c>
      <c r="E15" s="2" t="s">
        <v>13</v>
      </c>
      <c r="F15" s="2"/>
      <c r="G15" s="9"/>
    </row>
    <row r="16" customFormat="false" ht="17.25" hidden="false" customHeight="false" outlineLevel="0" collapsed="false">
      <c r="C16" s="0" t="s">
        <v>14</v>
      </c>
      <c r="D16" s="0" t="s">
        <v>15</v>
      </c>
      <c r="E16" s="0" t="s">
        <v>16</v>
      </c>
      <c r="I16" s="6"/>
      <c r="K16" s="6"/>
    </row>
    <row r="17" customFormat="false" ht="15" hidden="false" customHeight="false" outlineLevel="0" collapsed="false">
      <c r="B17" s="0" t="s">
        <v>17</v>
      </c>
      <c r="C17" s="0" t="s">
        <v>18</v>
      </c>
      <c r="D17" s="0" t="s">
        <v>19</v>
      </c>
      <c r="E17" s="0" t="s">
        <v>20</v>
      </c>
    </row>
    <row r="18" customFormat="false" ht="15" hidden="false" customHeight="false" outlineLevel="0" collapsed="false">
      <c r="B18" s="0" t="s">
        <v>21</v>
      </c>
      <c r="C18" s="0" t="s">
        <v>22</v>
      </c>
      <c r="D18" s="0" t="s">
        <v>23</v>
      </c>
      <c r="E18" s="0" t="s">
        <v>24</v>
      </c>
    </row>
    <row r="19" customFormat="false" ht="15" hidden="false" customHeight="false" outlineLevel="0" collapsed="false">
      <c r="B19" s="0" t="s">
        <v>25</v>
      </c>
      <c r="C19" s="0" t="s">
        <v>26</v>
      </c>
      <c r="E19" s="0" t="s">
        <v>27</v>
      </c>
      <c r="S19" s="10"/>
    </row>
    <row r="20" customFormat="false" ht="15" hidden="false" customHeight="false" outlineLevel="0" collapsed="false">
      <c r="B20" s="0" t="s">
        <v>28</v>
      </c>
      <c r="C20" s="0" t="s">
        <v>29</v>
      </c>
      <c r="D20" s="0" t="s">
        <v>30</v>
      </c>
    </row>
    <row r="21" customFormat="false" ht="15" hidden="false" customHeight="false" outlineLevel="0" collapsed="false">
      <c r="B21" s="0" t="s">
        <v>31</v>
      </c>
      <c r="C21" s="0" t="s">
        <v>32</v>
      </c>
      <c r="Q21" s="10"/>
    </row>
    <row r="22" customFormat="false" ht="15" hidden="false" customHeight="false" outlineLevel="0" collapsed="false">
      <c r="B22" s="0" t="s">
        <v>33</v>
      </c>
      <c r="C22" s="0" t="s">
        <v>24</v>
      </c>
      <c r="D22" s="0" t="s">
        <v>34</v>
      </c>
    </row>
    <row r="23" customFormat="false" ht="15" hidden="false" customHeight="false" outlineLevel="0" collapsed="false">
      <c r="B23" s="0" t="s">
        <v>35</v>
      </c>
      <c r="C23" s="0" t="s">
        <v>36</v>
      </c>
    </row>
    <row r="24" customFormat="false" ht="15" hidden="false" customHeight="false" outlineLevel="0" collapsed="false">
      <c r="B24" s="0" t="s">
        <v>37</v>
      </c>
      <c r="C24" s="0" t="s">
        <v>38</v>
      </c>
    </row>
    <row r="25" customFormat="false" ht="15" hidden="false" customHeight="false" outlineLevel="0" collapsed="false">
      <c r="B25" s="0" t="s">
        <v>39</v>
      </c>
    </row>
    <row r="28" customFormat="false" ht="15.75" hidden="false" customHeight="false" outlineLevel="0" collapsed="false">
      <c r="C28" s="2" t="s">
        <v>40</v>
      </c>
    </row>
    <row r="29" customFormat="false" ht="15" hidden="false" customHeight="false" outlineLevel="0" collapsed="false">
      <c r="F29" s="10"/>
    </row>
    <row r="30" customFormat="false" ht="15.75" hidden="false" customHeight="false" outlineLevel="0" collapsed="false">
      <c r="A30" s="11"/>
      <c r="B30" s="0" t="s">
        <v>41</v>
      </c>
      <c r="C30" s="0" t="s">
        <v>42</v>
      </c>
    </row>
    <row r="31" customFormat="false" ht="15.75" hidden="false" customHeight="false" outlineLevel="0" collapsed="false">
      <c r="A31" s="11"/>
      <c r="B31" s="0" t="s">
        <v>43</v>
      </c>
      <c r="C31" s="0" t="s">
        <v>44</v>
      </c>
      <c r="T31" s="12"/>
      <c r="Y31" s="0" t="n">
        <v>0</v>
      </c>
    </row>
    <row r="32" customFormat="false" ht="15" hidden="false" customHeight="false" outlineLevel="0" collapsed="false">
      <c r="B32" s="0" t="s">
        <v>45</v>
      </c>
      <c r="C32" s="0" t="s">
        <v>10</v>
      </c>
    </row>
    <row r="33" customFormat="false" ht="20.25" hidden="false" customHeight="false" outlineLevel="0" collapsed="false">
      <c r="B33" s="0" t="s">
        <v>46</v>
      </c>
      <c r="C33" s="0" t="s">
        <v>47</v>
      </c>
      <c r="I33" s="3" t="s">
        <v>48</v>
      </c>
      <c r="Q33" s="1"/>
      <c r="R33" s="3" t="s">
        <v>49</v>
      </c>
      <c r="S33" s="1"/>
      <c r="U33" s="1"/>
      <c r="X33" s="1"/>
      <c r="Y33" s="3" t="s">
        <v>50</v>
      </c>
      <c r="Z33" s="1"/>
    </row>
    <row r="34" customFormat="false" ht="15.75" hidden="false" customHeight="false" outlineLevel="0" collapsed="false">
      <c r="B34" s="0" t="s">
        <v>51</v>
      </c>
      <c r="C34" s="0" t="s">
        <v>52</v>
      </c>
      <c r="Q34" s="1"/>
      <c r="R34" s="1"/>
      <c r="S34" s="1"/>
      <c r="U34" s="1"/>
      <c r="X34" s="1"/>
      <c r="Y34" s="1"/>
      <c r="Z34" s="1"/>
    </row>
    <row r="35" customFormat="false" ht="15.75" hidden="false" customHeight="false" outlineLevel="0" collapsed="false">
      <c r="B35" s="0" t="s">
        <v>53</v>
      </c>
      <c r="C35" s="0" t="s">
        <v>54</v>
      </c>
      <c r="H35" s="13" t="s">
        <v>55</v>
      </c>
      <c r="I35" s="14" t="n">
        <v>0.08</v>
      </c>
      <c r="L35" s="1" t="s">
        <v>56</v>
      </c>
      <c r="Q35" s="1"/>
      <c r="R35" s="10" t="n">
        <v>0.05</v>
      </c>
      <c r="S35" s="10" t="n">
        <v>0</v>
      </c>
      <c r="U35" s="1"/>
      <c r="X35" s="1"/>
      <c r="Y35" s="10" t="n">
        <v>0.15</v>
      </c>
      <c r="Z35" s="10" t="n">
        <v>0.3</v>
      </c>
    </row>
    <row r="36" customFormat="false" ht="15" hidden="false" customHeight="false" outlineLevel="0" collapsed="false">
      <c r="B36" s="0" t="s">
        <v>57</v>
      </c>
      <c r="C36" s="0" t="s">
        <v>58</v>
      </c>
      <c r="I36" s="10"/>
      <c r="J36" s="10" t="s">
        <v>59</v>
      </c>
      <c r="L36" s="10" t="n">
        <v>0.04</v>
      </c>
      <c r="M36" s="10"/>
      <c r="N36" s="10"/>
      <c r="Q36" s="1"/>
      <c r="R36" s="10"/>
      <c r="S36" s="1"/>
      <c r="U36" s="10"/>
      <c r="X36" s="1"/>
      <c r="Y36" s="10"/>
      <c r="Z36" s="1"/>
      <c r="AC36" s="0" t="s">
        <v>60</v>
      </c>
    </row>
    <row r="37" customFormat="false" ht="17.25" hidden="false" customHeight="false" outlineLevel="0" collapsed="false">
      <c r="B37" s="0" t="s">
        <v>61</v>
      </c>
      <c r="C37" s="0" t="s">
        <v>62</v>
      </c>
      <c r="F37" s="15" t="s">
        <v>63</v>
      </c>
      <c r="G37" s="16"/>
      <c r="H37" s="17" t="s">
        <v>64</v>
      </c>
      <c r="I37" s="17" t="s">
        <v>65</v>
      </c>
      <c r="J37" s="18" t="n">
        <v>0.2</v>
      </c>
      <c r="M37" s="1" t="s">
        <v>66</v>
      </c>
      <c r="Q37" s="1" t="s">
        <v>64</v>
      </c>
      <c r="R37" s="1" t="s">
        <v>65</v>
      </c>
      <c r="S37" s="1" t="s">
        <v>67</v>
      </c>
      <c r="T37" s="0" t="s">
        <v>68</v>
      </c>
      <c r="U37" s="1"/>
      <c r="X37" s="1" t="s">
        <v>64</v>
      </c>
      <c r="Y37" s="1" t="s">
        <v>65</v>
      </c>
      <c r="Z37" s="1" t="s">
        <v>67</v>
      </c>
      <c r="AA37" s="0" t="s">
        <v>68</v>
      </c>
      <c r="AB37" s="0" t="s">
        <v>69</v>
      </c>
      <c r="AC37" s="0" t="s">
        <v>70</v>
      </c>
    </row>
    <row r="38" customFormat="false" ht="15" hidden="false" customHeight="false" outlineLevel="0" collapsed="false">
      <c r="B38" s="0" t="s">
        <v>71</v>
      </c>
      <c r="C38" s="0" t="s">
        <v>72</v>
      </c>
      <c r="F38" s="0" t="n">
        <v>33</v>
      </c>
      <c r="G38" s="0" t="n">
        <v>2002</v>
      </c>
      <c r="H38" s="1" t="n">
        <v>2000000</v>
      </c>
      <c r="I38" s="1" t="n">
        <f aca="false">H38*$I$35</f>
        <v>160000</v>
      </c>
      <c r="J38" s="1" t="n">
        <f aca="false">I38*$J$37</f>
        <v>32000</v>
      </c>
      <c r="M38" s="1" t="n">
        <v>85000</v>
      </c>
      <c r="O38" s="0" t="n">
        <v>33</v>
      </c>
      <c r="P38" s="0" t="n">
        <v>2002</v>
      </c>
      <c r="Q38" s="1" t="n">
        <v>2500000</v>
      </c>
      <c r="R38" s="1" t="n">
        <f aca="false">Q38*$R$35+$R$31</f>
        <v>125000</v>
      </c>
      <c r="S38" s="1" t="n">
        <f aca="false">R38*$S$35</f>
        <v>0</v>
      </c>
      <c r="T38" s="0" t="n">
        <f aca="false">M38</f>
        <v>85000</v>
      </c>
      <c r="U38" s="1"/>
      <c r="V38" s="0" t="n">
        <v>33</v>
      </c>
      <c r="W38" s="0" t="n">
        <v>2002</v>
      </c>
      <c r="X38" s="1" t="n">
        <v>2500000</v>
      </c>
      <c r="Y38" s="1" t="n">
        <f aca="false">X38*$Y$35</f>
        <v>375000</v>
      </c>
      <c r="Z38" s="1" t="n">
        <f aca="false">Y38*$Z$35</f>
        <v>112500</v>
      </c>
      <c r="AB38" s="0" t="n">
        <f aca="false">V38</f>
        <v>33</v>
      </c>
      <c r="AC38" s="1" t="n">
        <f aca="false">X38+Q38+H38</f>
        <v>7000000</v>
      </c>
    </row>
    <row r="39" customFormat="false" ht="15" hidden="false" customHeight="false" outlineLevel="0" collapsed="false">
      <c r="F39" s="0" t="n">
        <f aca="false">F38+1</f>
        <v>34</v>
      </c>
      <c r="G39" s="0" t="n">
        <v>2003</v>
      </c>
      <c r="H39" s="1" t="n">
        <f aca="false">H38+I38-J38-K38</f>
        <v>2128000</v>
      </c>
      <c r="I39" s="1" t="n">
        <f aca="false">H39*$I$35</f>
        <v>170240</v>
      </c>
      <c r="J39" s="1" t="n">
        <f aca="false">I39*$J$37</f>
        <v>34048</v>
      </c>
      <c r="M39" s="1" t="n">
        <f aca="false">M38*(1+$L$36)</f>
        <v>88400</v>
      </c>
      <c r="O39" s="0" t="n">
        <f aca="false">O38+1</f>
        <v>34</v>
      </c>
      <c r="P39" s="0" t="n">
        <v>2003</v>
      </c>
      <c r="Q39" s="1" t="n">
        <f aca="false">Q38+R38-S38-T38</f>
        <v>2540000</v>
      </c>
      <c r="R39" s="1" t="n">
        <f aca="false">Q39*$R$35+$R$31</f>
        <v>127000</v>
      </c>
      <c r="S39" s="1" t="n">
        <f aca="false">R39*$S$35</f>
        <v>0</v>
      </c>
      <c r="T39" s="0" t="n">
        <f aca="false">M39</f>
        <v>88400</v>
      </c>
      <c r="U39" s="1"/>
      <c r="V39" s="0" t="n">
        <f aca="false">V38+1</f>
        <v>34</v>
      </c>
      <c r="W39" s="0" t="n">
        <v>2003</v>
      </c>
      <c r="X39" s="1" t="n">
        <f aca="false">X38+Y38-Z38-AA38</f>
        <v>2762500</v>
      </c>
      <c r="Y39" s="1" t="n">
        <f aca="false">X39*$Y$35</f>
        <v>414375</v>
      </c>
      <c r="Z39" s="1" t="n">
        <f aca="false">Y39*$Z$35</f>
        <v>124312.5</v>
      </c>
      <c r="AB39" s="0" t="n">
        <f aca="false">V39</f>
        <v>34</v>
      </c>
      <c r="AC39" s="1" t="n">
        <f aca="false">X39+Q39+H39</f>
        <v>7430500</v>
      </c>
    </row>
    <row r="40" customFormat="false" ht="15" hidden="false" customHeight="false" outlineLevel="0" collapsed="false">
      <c r="F40" s="0" t="n">
        <f aca="false">F39+1</f>
        <v>35</v>
      </c>
      <c r="G40" s="0" t="n">
        <v>2004</v>
      </c>
      <c r="H40" s="1" t="n">
        <f aca="false">H39+I39-J39-K39</f>
        <v>2264192</v>
      </c>
      <c r="I40" s="1" t="n">
        <f aca="false">H40*$I$35</f>
        <v>181135.36</v>
      </c>
      <c r="J40" s="1" t="n">
        <f aca="false">I40*$J$37</f>
        <v>36227.072</v>
      </c>
      <c r="M40" s="1" t="n">
        <f aca="false">M39*(1+$L$36)</f>
        <v>91936</v>
      </c>
      <c r="O40" s="0" t="n">
        <f aca="false">O39+1</f>
        <v>35</v>
      </c>
      <c r="P40" s="0" t="n">
        <v>2004</v>
      </c>
      <c r="Q40" s="1" t="n">
        <f aca="false">Q39+R39-S39-T39</f>
        <v>2578600</v>
      </c>
      <c r="R40" s="1" t="n">
        <f aca="false">Q40*$R$35+$R$31</f>
        <v>128930</v>
      </c>
      <c r="S40" s="1" t="n">
        <f aca="false">R40*$S$35</f>
        <v>0</v>
      </c>
      <c r="T40" s="0" t="n">
        <f aca="false">M40</f>
        <v>91936</v>
      </c>
      <c r="U40" s="1"/>
      <c r="V40" s="0" t="n">
        <f aca="false">V39+1</f>
        <v>35</v>
      </c>
      <c r="W40" s="0" t="n">
        <v>2004</v>
      </c>
      <c r="X40" s="1" t="n">
        <f aca="false">X39+Y39-Z39-AA39</f>
        <v>3052562.5</v>
      </c>
      <c r="Y40" s="1" t="n">
        <f aca="false">X40*$Y$35</f>
        <v>457884.375</v>
      </c>
      <c r="Z40" s="1" t="n">
        <f aca="false">Y40*$Z$35</f>
        <v>137365.3125</v>
      </c>
      <c r="AB40" s="0" t="n">
        <f aca="false">V40</f>
        <v>35</v>
      </c>
      <c r="AC40" s="1" t="n">
        <f aca="false">X40+Q40+H40</f>
        <v>7895354.5</v>
      </c>
    </row>
    <row r="41" customFormat="false" ht="15" hidden="false" customHeight="false" outlineLevel="0" collapsed="false">
      <c r="F41" s="0" t="n">
        <f aca="false">F40+1</f>
        <v>36</v>
      </c>
      <c r="G41" s="0" t="n">
        <v>2005</v>
      </c>
      <c r="H41" s="1" t="n">
        <f aca="false">H40+I40-J40-K40</f>
        <v>2409100.288</v>
      </c>
      <c r="I41" s="1" t="n">
        <f aca="false">H41*$I$35</f>
        <v>192728.02304</v>
      </c>
      <c r="J41" s="1" t="n">
        <f aca="false">I41*$J$37</f>
        <v>38545.604608</v>
      </c>
      <c r="M41" s="1" t="n">
        <f aca="false">M40*(1+$L$36)</f>
        <v>95613.44</v>
      </c>
      <c r="O41" s="0" t="n">
        <f aca="false">O40+1</f>
        <v>36</v>
      </c>
      <c r="P41" s="0" t="n">
        <v>2005</v>
      </c>
      <c r="Q41" s="1" t="n">
        <f aca="false">Q40+R40-S40-T40</f>
        <v>2615594</v>
      </c>
      <c r="R41" s="1" t="n">
        <f aca="false">Q41*$R$35+$R$31</f>
        <v>130779.7</v>
      </c>
      <c r="S41" s="1" t="n">
        <f aca="false">R41*$S$35</f>
        <v>0</v>
      </c>
      <c r="T41" s="0" t="n">
        <f aca="false">M41</f>
        <v>95613.44</v>
      </c>
      <c r="U41" s="1"/>
      <c r="V41" s="0" t="n">
        <f aca="false">V40+1</f>
        <v>36</v>
      </c>
      <c r="W41" s="0" t="n">
        <v>2005</v>
      </c>
      <c r="X41" s="1" t="n">
        <f aca="false">X40+Y40-Z40-AA40</f>
        <v>3373081.5625</v>
      </c>
      <c r="Y41" s="1" t="n">
        <f aca="false">X41*$Y$35</f>
        <v>505962.234375</v>
      </c>
      <c r="Z41" s="1" t="n">
        <f aca="false">Y41*$Z$35</f>
        <v>151788.6703125</v>
      </c>
      <c r="AB41" s="0" t="n">
        <f aca="false">V41</f>
        <v>36</v>
      </c>
      <c r="AC41" s="1" t="n">
        <f aca="false">X41+Q41+H41</f>
        <v>8397775.8505</v>
      </c>
    </row>
    <row r="42" customFormat="false" ht="15" hidden="false" customHeight="false" outlineLevel="0" collapsed="false">
      <c r="F42" s="0" t="n">
        <f aca="false">F41+1</f>
        <v>37</v>
      </c>
      <c r="G42" s="0" t="n">
        <v>2006</v>
      </c>
      <c r="H42" s="1" t="n">
        <f aca="false">H41+I41-J41-K41</f>
        <v>2563282.706432</v>
      </c>
      <c r="I42" s="1" t="n">
        <f aca="false">H42*$I$35</f>
        <v>205062.61651456</v>
      </c>
      <c r="J42" s="1" t="n">
        <f aca="false">I42*$J$37</f>
        <v>41012.523302912</v>
      </c>
      <c r="M42" s="1" t="n">
        <f aca="false">M41*(1+$L$36)</f>
        <v>99437.9776</v>
      </c>
      <c r="O42" s="0" t="n">
        <f aca="false">O41+1</f>
        <v>37</v>
      </c>
      <c r="P42" s="0" t="n">
        <v>2006</v>
      </c>
      <c r="Q42" s="1" t="n">
        <f aca="false">Q41+R41-S41-T41</f>
        <v>2650760.26</v>
      </c>
      <c r="R42" s="1" t="n">
        <f aca="false">Q42*$R$35+$R$31</f>
        <v>132538.013</v>
      </c>
      <c r="S42" s="1" t="n">
        <f aca="false">R42*$S$35</f>
        <v>0</v>
      </c>
      <c r="T42" s="0" t="n">
        <f aca="false">M42</f>
        <v>99437.9776</v>
      </c>
      <c r="U42" s="1"/>
      <c r="V42" s="0" t="n">
        <f aca="false">V41+1</f>
        <v>37</v>
      </c>
      <c r="W42" s="0" t="n">
        <v>2006</v>
      </c>
      <c r="X42" s="1" t="n">
        <f aca="false">X41+Y41-Z41-AA41</f>
        <v>3727255.1265625</v>
      </c>
      <c r="Y42" s="1" t="n">
        <f aca="false">X42*$Y$35</f>
        <v>559088.268984375</v>
      </c>
      <c r="Z42" s="1" t="n">
        <f aca="false">Y42*$Z$35</f>
        <v>167726.480695312</v>
      </c>
      <c r="AB42" s="0" t="n">
        <f aca="false">V42</f>
        <v>37</v>
      </c>
      <c r="AC42" s="1" t="n">
        <f aca="false">X42+Q42+H42</f>
        <v>8941298.0929945</v>
      </c>
    </row>
    <row r="43" customFormat="false" ht="15.75" hidden="false" customHeight="false" outlineLevel="0" collapsed="false">
      <c r="A43" s="11"/>
      <c r="F43" s="0" t="n">
        <f aca="false">F42+1</f>
        <v>38</v>
      </c>
      <c r="G43" s="0" t="n">
        <v>2007</v>
      </c>
      <c r="H43" s="1" t="n">
        <f aca="false">H42+I42-J42-K42</f>
        <v>2727332.79964365</v>
      </c>
      <c r="I43" s="1" t="n">
        <f aca="false">H43*$I$35</f>
        <v>218186.623971492</v>
      </c>
      <c r="J43" s="1" t="n">
        <f aca="false">I43*$J$37</f>
        <v>43637.3247942984</v>
      </c>
      <c r="M43" s="1" t="n">
        <f aca="false">M42*(1+$L$36)</f>
        <v>103415.496704</v>
      </c>
      <c r="O43" s="0" t="n">
        <f aca="false">O42+1</f>
        <v>38</v>
      </c>
      <c r="P43" s="0" t="n">
        <v>2007</v>
      </c>
      <c r="Q43" s="1" t="n">
        <f aca="false">Q42+R42-S42-T42</f>
        <v>2683860.2954</v>
      </c>
      <c r="R43" s="1" t="n">
        <f aca="false">Q43*$R$35+$R$31</f>
        <v>134193.01477</v>
      </c>
      <c r="S43" s="1" t="n">
        <f aca="false">R43*$S$35</f>
        <v>0</v>
      </c>
      <c r="T43" s="0" t="n">
        <f aca="false">M43</f>
        <v>103415.496704</v>
      </c>
      <c r="U43" s="1"/>
      <c r="V43" s="0" t="n">
        <f aca="false">V42+1</f>
        <v>38</v>
      </c>
      <c r="W43" s="0" t="n">
        <v>2007</v>
      </c>
      <c r="X43" s="1" t="n">
        <f aca="false">X42+Y42-Z42-AA42</f>
        <v>4118616.91485156</v>
      </c>
      <c r="Y43" s="1" t="n">
        <f aca="false">X43*$Y$35</f>
        <v>617792.537227734</v>
      </c>
      <c r="Z43" s="1" t="n">
        <f aca="false">Y43*$Z$35</f>
        <v>185337.76116832</v>
      </c>
      <c r="AB43" s="0" t="n">
        <f aca="false">V43</f>
        <v>38</v>
      </c>
      <c r="AC43" s="1" t="n">
        <f aca="false">X43+Q43+H43</f>
        <v>9529810.00989521</v>
      </c>
    </row>
    <row r="44" customFormat="false" ht="15" hidden="false" customHeight="false" outlineLevel="0" collapsed="false">
      <c r="F44" s="0" t="n">
        <f aca="false">F43+1</f>
        <v>39</v>
      </c>
      <c r="G44" s="0" t="n">
        <v>2008</v>
      </c>
      <c r="H44" s="1" t="n">
        <f aca="false">H43+I43-J43-K43</f>
        <v>2901882.09882084</v>
      </c>
      <c r="I44" s="1" t="n">
        <f aca="false">H44*$I$35</f>
        <v>232150.567905667</v>
      </c>
      <c r="J44" s="1" t="n">
        <f aca="false">I44*$J$37</f>
        <v>46430.1135811335</v>
      </c>
      <c r="M44" s="1" t="n">
        <f aca="false">M43*(1+$L$36)</f>
        <v>107552.11657216</v>
      </c>
      <c r="O44" s="0" t="n">
        <f aca="false">O43+1</f>
        <v>39</v>
      </c>
      <c r="P44" s="0" t="n">
        <v>2008</v>
      </c>
      <c r="Q44" s="1" t="n">
        <f aca="false">Q43+R43-S43-T43</f>
        <v>2714637.813466</v>
      </c>
      <c r="R44" s="1" t="n">
        <f aca="false">Q44*$R$35+$R$31</f>
        <v>135731.8906733</v>
      </c>
      <c r="S44" s="1" t="n">
        <f aca="false">R44*$S$35</f>
        <v>0</v>
      </c>
      <c r="T44" s="0" t="n">
        <f aca="false">M44</f>
        <v>107552.11657216</v>
      </c>
      <c r="U44" s="1"/>
      <c r="V44" s="0" t="n">
        <f aca="false">V43+1</f>
        <v>39</v>
      </c>
      <c r="W44" s="0" t="n">
        <v>2008</v>
      </c>
      <c r="X44" s="1" t="n">
        <f aca="false">X43+Y43-Z43-AA43</f>
        <v>4551071.69091098</v>
      </c>
      <c r="Y44" s="1" t="n">
        <f aca="false">X44*$Y$35</f>
        <v>682660.753636646</v>
      </c>
      <c r="Z44" s="1" t="n">
        <f aca="false">Y44*$Z$35</f>
        <v>204798.226090994</v>
      </c>
      <c r="AB44" s="0" t="n">
        <f aca="false">V44</f>
        <v>39</v>
      </c>
      <c r="AC44" s="1" t="n">
        <f aca="false">X44+Q44+H44</f>
        <v>10167591.6031978</v>
      </c>
    </row>
    <row r="45" customFormat="false" ht="15" hidden="false" customHeight="false" outlineLevel="0" collapsed="false">
      <c r="F45" s="0" t="n">
        <f aca="false">F44+1</f>
        <v>40</v>
      </c>
      <c r="G45" s="0" t="n">
        <v>2009</v>
      </c>
      <c r="H45" s="1" t="n">
        <f aca="false">H44+I44-J44-K44</f>
        <v>3087602.55314538</v>
      </c>
      <c r="I45" s="1" t="n">
        <f aca="false">H45*$I$35</f>
        <v>247008.20425163</v>
      </c>
      <c r="J45" s="1" t="n">
        <f aca="false">I45*$J$37</f>
        <v>49401.640850326</v>
      </c>
      <c r="M45" s="1" t="n">
        <f aca="false">M44*(1+$L$36)</f>
        <v>111854.201235046</v>
      </c>
      <c r="O45" s="0" t="n">
        <f aca="false">O44+1</f>
        <v>40</v>
      </c>
      <c r="P45" s="0" t="n">
        <v>2009</v>
      </c>
      <c r="Q45" s="1" t="n">
        <f aca="false">Q44+R44-S44-T44</f>
        <v>2742817.58756714</v>
      </c>
      <c r="R45" s="1" t="n">
        <f aca="false">Q45*$R$35+$R$31</f>
        <v>137140.879378357</v>
      </c>
      <c r="S45" s="1" t="n">
        <f aca="false">R45*$S$35</f>
        <v>0</v>
      </c>
      <c r="T45" s="0" t="n">
        <f aca="false">M45</f>
        <v>111854.201235046</v>
      </c>
      <c r="U45" s="1"/>
      <c r="V45" s="0" t="n">
        <f aca="false">V44+1</f>
        <v>40</v>
      </c>
      <c r="W45" s="0" t="n">
        <v>2009</v>
      </c>
      <c r="X45" s="1" t="n">
        <f aca="false">X44+Y44-Z44-AA44</f>
        <v>5028934.21845663</v>
      </c>
      <c r="Y45" s="1" t="n">
        <f aca="false">X45*$Y$35</f>
        <v>754340.132768494</v>
      </c>
      <c r="Z45" s="1" t="n">
        <f aca="false">Y45*$Z$35</f>
        <v>226302.039830548</v>
      </c>
      <c r="AB45" s="0" t="n">
        <f aca="false">V45</f>
        <v>40</v>
      </c>
      <c r="AC45" s="1" t="n">
        <f aca="false">X45+Q45+H45</f>
        <v>10859354.3591691</v>
      </c>
    </row>
    <row r="46" customFormat="false" ht="15" hidden="false" customHeight="false" outlineLevel="0" collapsed="false">
      <c r="F46" s="0" t="n">
        <f aca="false">F45+1</f>
        <v>41</v>
      </c>
      <c r="G46" s="0" t="n">
        <v>2010</v>
      </c>
      <c r="H46" s="1" t="n">
        <f aca="false">H45+I45-J45-K45</f>
        <v>3285209.11654668</v>
      </c>
      <c r="I46" s="1" t="n">
        <f aca="false">H46*$I$35</f>
        <v>262816.729323734</v>
      </c>
      <c r="J46" s="1" t="n">
        <f aca="false">I46*$J$37</f>
        <v>52563.3458647469</v>
      </c>
      <c r="M46" s="1" t="n">
        <f aca="false">M45*(1+$L$36)</f>
        <v>116328.369284448</v>
      </c>
      <c r="O46" s="0" t="n">
        <f aca="false">O45+1</f>
        <v>41</v>
      </c>
      <c r="P46" s="0" t="n">
        <v>2010</v>
      </c>
      <c r="Q46" s="1" t="n">
        <f aca="false">Q45+R45-S45-T45</f>
        <v>2768104.26571045</v>
      </c>
      <c r="R46" s="1" t="n">
        <f aca="false">Q46*$R$35+$R$31</f>
        <v>138405.213285523</v>
      </c>
      <c r="S46" s="1" t="n">
        <f aca="false">R46*$S$35</f>
        <v>0</v>
      </c>
      <c r="T46" s="0" t="n">
        <f aca="false">M46</f>
        <v>116328.369284448</v>
      </c>
      <c r="U46" s="1"/>
      <c r="V46" s="0" t="n">
        <f aca="false">V45+1</f>
        <v>41</v>
      </c>
      <c r="W46" s="0" t="n">
        <v>2010</v>
      </c>
      <c r="X46" s="1" t="n">
        <f aca="false">X45+Y45-Z45-AA45</f>
        <v>5556972.31139457</v>
      </c>
      <c r="Y46" s="1" t="n">
        <f aca="false">X46*$Y$35</f>
        <v>833545.846709186</v>
      </c>
      <c r="Z46" s="1" t="n">
        <f aca="false">Y46*$Z$35</f>
        <v>250063.754012756</v>
      </c>
      <c r="AB46" s="0" t="n">
        <f aca="false">V46</f>
        <v>41</v>
      </c>
      <c r="AC46" s="1" t="n">
        <f aca="false">X46+Q46+H46</f>
        <v>11610285.6936517</v>
      </c>
    </row>
    <row r="47" customFormat="false" ht="15" hidden="false" customHeight="false" outlineLevel="0" collapsed="false">
      <c r="F47" s="0" t="n">
        <f aca="false">F46+1</f>
        <v>42</v>
      </c>
      <c r="G47" s="0" t="n">
        <v>2011</v>
      </c>
      <c r="H47" s="1" t="n">
        <f aca="false">H46+I46-J46-K46</f>
        <v>3495462.50000567</v>
      </c>
      <c r="I47" s="1" t="n">
        <f aca="false">H47*$I$35</f>
        <v>279637.000000453</v>
      </c>
      <c r="J47" s="1" t="n">
        <f aca="false">I47*$J$37</f>
        <v>55927.4000000907</v>
      </c>
      <c r="M47" s="1" t="n">
        <f aca="false">M46*(1+$L$36)</f>
        <v>120981.504055826</v>
      </c>
      <c r="O47" s="0" t="n">
        <f aca="false">O46+1</f>
        <v>42</v>
      </c>
      <c r="P47" s="0" t="n">
        <v>2011</v>
      </c>
      <c r="Q47" s="1" t="n">
        <f aca="false">Q46+R46-S46-T46</f>
        <v>2790181.10971153</v>
      </c>
      <c r="R47" s="1" t="n">
        <f aca="false">Q47*$R$35+$R$31</f>
        <v>139509.055485576</v>
      </c>
      <c r="S47" s="1" t="n">
        <f aca="false">R47*$S$35</f>
        <v>0</v>
      </c>
      <c r="T47" s="0" t="n">
        <f aca="false">M47</f>
        <v>120981.504055826</v>
      </c>
      <c r="U47" s="1"/>
      <c r="V47" s="0" t="n">
        <f aca="false">V46+1</f>
        <v>42</v>
      </c>
      <c r="W47" s="0" t="n">
        <v>2011</v>
      </c>
      <c r="X47" s="1" t="n">
        <f aca="false">X46+Y46-Z46-AA46</f>
        <v>6140454.404091</v>
      </c>
      <c r="Y47" s="1" t="n">
        <f aca="false">X47*$Y$35</f>
        <v>921068.160613651</v>
      </c>
      <c r="Z47" s="1" t="n">
        <f aca="false">Y47*$Z$35</f>
        <v>276320.448184095</v>
      </c>
      <c r="AB47" s="0" t="n">
        <f aca="false">V47</f>
        <v>42</v>
      </c>
      <c r="AC47" s="1" t="n">
        <f aca="false">X47+Q47+H47</f>
        <v>12426098.0138082</v>
      </c>
    </row>
    <row r="48" customFormat="false" ht="15" hidden="false" customHeight="false" outlineLevel="0" collapsed="false">
      <c r="F48" s="0" t="n">
        <f aca="false">F47+1</f>
        <v>43</v>
      </c>
      <c r="G48" s="0" t="n">
        <v>2012</v>
      </c>
      <c r="H48" s="1" t="n">
        <f aca="false">H47+I47-J47-K47</f>
        <v>3719172.10000603</v>
      </c>
      <c r="I48" s="1" t="n">
        <f aca="false">H48*$I$35</f>
        <v>297533.768000482</v>
      </c>
      <c r="J48" s="1" t="n">
        <f aca="false">I48*$J$37</f>
        <v>59506.7536000965</v>
      </c>
      <c r="M48" s="1" t="n">
        <f aca="false">M47*(1+$L$36)</f>
        <v>125820.764218059</v>
      </c>
      <c r="O48" s="0" t="n">
        <f aca="false">O47+1</f>
        <v>43</v>
      </c>
      <c r="P48" s="0" t="n">
        <v>2012</v>
      </c>
      <c r="Q48" s="1" t="n">
        <f aca="false">Q47+R47-S47-T47</f>
        <v>2808708.66114128</v>
      </c>
      <c r="R48" s="1" t="n">
        <f aca="false">Q48*$R$35+$R$31</f>
        <v>140435.433057064</v>
      </c>
      <c r="S48" s="1" t="n">
        <f aca="false">R48*$S$35</f>
        <v>0</v>
      </c>
      <c r="T48" s="0" t="n">
        <f aca="false">M48</f>
        <v>125820.764218059</v>
      </c>
      <c r="U48" s="1"/>
      <c r="V48" s="0" t="n">
        <f aca="false">V47+1</f>
        <v>43</v>
      </c>
      <c r="W48" s="0" t="n">
        <v>2012</v>
      </c>
      <c r="X48" s="1" t="n">
        <f aca="false">X47+Y47-Z47-AA47</f>
        <v>6785202.11652056</v>
      </c>
      <c r="Y48" s="1" t="n">
        <f aca="false">X48*$Y$35</f>
        <v>1017780.31747808</v>
      </c>
      <c r="Z48" s="1" t="n">
        <f aca="false">Y48*$Z$35</f>
        <v>305334.095243425</v>
      </c>
      <c r="AB48" s="0" t="n">
        <f aca="false">V48</f>
        <v>43</v>
      </c>
      <c r="AC48" s="1" t="n">
        <f aca="false">X48+Q48+H48</f>
        <v>13313082.8776679</v>
      </c>
    </row>
    <row r="49" customFormat="false" ht="15" hidden="false" customHeight="false" outlineLevel="0" collapsed="false">
      <c r="F49" s="0" t="n">
        <f aca="false">F48+1</f>
        <v>44</v>
      </c>
      <c r="G49" s="0" t="n">
        <v>2013</v>
      </c>
      <c r="H49" s="1" t="n">
        <f aca="false">H48+I48-J48-K48</f>
        <v>3957199.11440642</v>
      </c>
      <c r="I49" s="1" t="n">
        <f aca="false">H49*$I$35</f>
        <v>316575.929152513</v>
      </c>
      <c r="J49" s="1" t="n">
        <f aca="false">I49*$J$37</f>
        <v>63315.1858305027</v>
      </c>
      <c r="M49" s="1" t="n">
        <f aca="false">M48*(1+$L$36)</f>
        <v>130853.594786782</v>
      </c>
      <c r="O49" s="0" t="n">
        <f aca="false">O48+1</f>
        <v>44</v>
      </c>
      <c r="P49" s="0" t="n">
        <v>2013</v>
      </c>
      <c r="Q49" s="1" t="n">
        <f aca="false">Q48+R48-S48-T48</f>
        <v>2823323.32998028</v>
      </c>
      <c r="R49" s="1" t="n">
        <f aca="false">Q49*$R$35+$R$31</f>
        <v>141166.166499014</v>
      </c>
      <c r="S49" s="1" t="n">
        <f aca="false">R49*$S$35</f>
        <v>0</v>
      </c>
      <c r="T49" s="0" t="n">
        <f aca="false">M49</f>
        <v>130853.594786782</v>
      </c>
      <c r="U49" s="1"/>
      <c r="V49" s="0" t="n">
        <f aca="false">V48+1</f>
        <v>44</v>
      </c>
      <c r="W49" s="0" t="n">
        <v>2013</v>
      </c>
      <c r="X49" s="1" t="n">
        <f aca="false">X48+Y48-Z48-AA48</f>
        <v>7497648.33875522</v>
      </c>
      <c r="Y49" s="1" t="n">
        <f aca="false">X49*$Y$35</f>
        <v>1124647.25081328</v>
      </c>
      <c r="Z49" s="1" t="n">
        <f aca="false">Y49*$Z$35</f>
        <v>337394.175243985</v>
      </c>
      <c r="AB49" s="0" t="n">
        <f aca="false">V49</f>
        <v>44</v>
      </c>
      <c r="AC49" s="1" t="n">
        <f aca="false">X49+Q49+H49</f>
        <v>14278170.7831419</v>
      </c>
    </row>
    <row r="50" customFormat="false" ht="15" hidden="false" customHeight="false" outlineLevel="0" collapsed="false">
      <c r="F50" s="0" t="n">
        <f aca="false">F49+1</f>
        <v>45</v>
      </c>
      <c r="G50" s="0" t="n">
        <v>2014</v>
      </c>
      <c r="H50" s="1" t="n">
        <f aca="false">H49+I49-J49-K49</f>
        <v>4210459.85772843</v>
      </c>
      <c r="I50" s="1" t="n">
        <f aca="false">H50*$I$35</f>
        <v>336836.788618274</v>
      </c>
      <c r="J50" s="1" t="n">
        <f aca="false">I50*$J$37</f>
        <v>67367.3577236548</v>
      </c>
      <c r="M50" s="1" t="n">
        <f aca="false">M49*(1+$L$36)</f>
        <v>136087.738578253</v>
      </c>
      <c r="O50" s="0" t="n">
        <f aca="false">O49+1</f>
        <v>45</v>
      </c>
      <c r="P50" s="0" t="n">
        <v>2014</v>
      </c>
      <c r="Q50" s="1" t="n">
        <f aca="false">Q49+R49-S49-T49</f>
        <v>2833635.90169251</v>
      </c>
      <c r="R50" s="1" t="n">
        <f aca="false">Q50*$R$35+$R$31</f>
        <v>141681.795084626</v>
      </c>
      <c r="S50" s="1" t="n">
        <f aca="false">R50*$S$35</f>
        <v>0</v>
      </c>
      <c r="T50" s="0" t="n">
        <f aca="false">M50</f>
        <v>136087.738578253</v>
      </c>
      <c r="U50" s="1"/>
      <c r="V50" s="0" t="n">
        <f aca="false">V49+1</f>
        <v>45</v>
      </c>
      <c r="W50" s="0" t="n">
        <v>2014</v>
      </c>
      <c r="X50" s="1" t="n">
        <f aca="false">X49+Y49-Z49-AA49</f>
        <v>8284901.41432452</v>
      </c>
      <c r="Y50" s="1" t="n">
        <f aca="false">X50*$Y$35</f>
        <v>1242735.21214868</v>
      </c>
      <c r="Z50" s="1" t="n">
        <f aca="false">Y50*$Z$35</f>
        <v>372820.563644603</v>
      </c>
      <c r="AB50" s="0" t="n">
        <f aca="false">V50</f>
        <v>45</v>
      </c>
      <c r="AC50" s="1" t="n">
        <f aca="false">X50+Q50+H50</f>
        <v>15328997.1737455</v>
      </c>
    </row>
    <row r="51" customFormat="false" ht="15" hidden="false" customHeight="false" outlineLevel="0" collapsed="false">
      <c r="F51" s="0" t="n">
        <f aca="false">F50+1</f>
        <v>46</v>
      </c>
      <c r="G51" s="0" t="n">
        <v>2015</v>
      </c>
      <c r="H51" s="1" t="n">
        <f aca="false">H50+I50-J50-K50</f>
        <v>4479929.28862305</v>
      </c>
      <c r="I51" s="1" t="n">
        <f aca="false">H51*$I$35</f>
        <v>358394.343089844</v>
      </c>
      <c r="J51" s="1" t="n">
        <f aca="false">I51*$J$37</f>
        <v>71678.8686179687</v>
      </c>
      <c r="M51" s="1" t="n">
        <f aca="false">M50*(1+$L$36)</f>
        <v>141531.248121383</v>
      </c>
      <c r="O51" s="0" t="n">
        <f aca="false">O50+1</f>
        <v>46</v>
      </c>
      <c r="P51" s="0" t="n">
        <v>2015</v>
      </c>
      <c r="Q51" s="1" t="n">
        <f aca="false">Q50+R50-S50-T50</f>
        <v>2839229.95819888</v>
      </c>
      <c r="R51" s="1" t="n">
        <f aca="false">Q51*$R$35+$R$31</f>
        <v>141961.497909944</v>
      </c>
      <c r="S51" s="1" t="n">
        <f aca="false">R51*$S$35</f>
        <v>0</v>
      </c>
      <c r="T51" s="0" t="n">
        <f aca="false">M51</f>
        <v>141531.248121383</v>
      </c>
      <c r="U51" s="1"/>
      <c r="V51" s="0" t="n">
        <f aca="false">V50+1</f>
        <v>46</v>
      </c>
      <c r="W51" s="0" t="n">
        <v>2015</v>
      </c>
      <c r="X51" s="1" t="n">
        <f aca="false">X50+Y50-Z50-AA50</f>
        <v>9154816.06282859</v>
      </c>
      <c r="Y51" s="1" t="n">
        <f aca="false">X51*$Y$35</f>
        <v>1373222.40942429</v>
      </c>
      <c r="Z51" s="1" t="n">
        <f aca="false">Y51*$Z$35</f>
        <v>411966.722827287</v>
      </c>
      <c r="AB51" s="0" t="n">
        <f aca="false">V51</f>
        <v>46</v>
      </c>
      <c r="AC51" s="1" t="n">
        <f aca="false">X51+Q51+H51</f>
        <v>16473975.3096505</v>
      </c>
    </row>
    <row r="52" customFormat="false" ht="15" hidden="false" customHeight="false" outlineLevel="0" collapsed="false">
      <c r="F52" s="0" t="n">
        <f aca="false">F51+1</f>
        <v>47</v>
      </c>
      <c r="G52" s="0" t="n">
        <v>2016</v>
      </c>
      <c r="H52" s="1" t="n">
        <f aca="false">H51+I51-J51-K51</f>
        <v>4766644.76309492</v>
      </c>
      <c r="I52" s="1" t="n">
        <f aca="false">H52*$I$35</f>
        <v>381331.581047594</v>
      </c>
      <c r="J52" s="1" t="n">
        <f aca="false">I52*$J$37</f>
        <v>76266.3162095187</v>
      </c>
      <c r="M52" s="1" t="n">
        <f aca="false">M51*(1+$L$36)</f>
        <v>147192.498046238</v>
      </c>
      <c r="O52" s="0" t="n">
        <f aca="false">O51+1</f>
        <v>47</v>
      </c>
      <c r="P52" s="0" t="n">
        <v>2016</v>
      </c>
      <c r="Q52" s="1" t="n">
        <f aca="false">Q51+R51-S51-T51</f>
        <v>2839660.20798745</v>
      </c>
      <c r="R52" s="1" t="n">
        <f aca="false">Q52*$R$35+$R$31</f>
        <v>141983.010399372</v>
      </c>
      <c r="S52" s="1" t="n">
        <f aca="false">R52*$S$35</f>
        <v>0</v>
      </c>
      <c r="T52" s="0" t="n">
        <f aca="false">M52</f>
        <v>147192.498046238</v>
      </c>
      <c r="U52" s="1"/>
      <c r="V52" s="0" t="n">
        <f aca="false">V51+1</f>
        <v>47</v>
      </c>
      <c r="W52" s="0" t="n">
        <v>2016</v>
      </c>
      <c r="X52" s="1" t="n">
        <f aca="false">X51+Y51-Z51-AA51</f>
        <v>10116071.7494256</v>
      </c>
      <c r="Y52" s="1" t="n">
        <f aca="false">X52*$Y$35</f>
        <v>1517410.76241384</v>
      </c>
      <c r="Z52" s="1" t="n">
        <f aca="false">Y52*$Z$35</f>
        <v>455223.228724152</v>
      </c>
      <c r="AB52" s="0" t="n">
        <f aca="false">V52</f>
        <v>47</v>
      </c>
      <c r="AC52" s="1" t="n">
        <f aca="false">X52+Q52+H52</f>
        <v>17722376.720508</v>
      </c>
    </row>
    <row r="53" customFormat="false" ht="15" hidden="false" customHeight="false" outlineLevel="0" collapsed="false">
      <c r="F53" s="0" t="n">
        <f aca="false">F52+1</f>
        <v>48</v>
      </c>
      <c r="G53" s="0" t="n">
        <v>2017</v>
      </c>
      <c r="H53" s="1" t="n">
        <f aca="false">H52+I52-J52-K52</f>
        <v>5071710.027933</v>
      </c>
      <c r="I53" s="1" t="n">
        <f aca="false">H53*$I$35</f>
        <v>405736.80223464</v>
      </c>
      <c r="J53" s="1" t="n">
        <f aca="false">I53*$J$37</f>
        <v>81147.360446928</v>
      </c>
      <c r="M53" s="1" t="n">
        <f aca="false">M52*(1+$L$36)</f>
        <v>153080.197968088</v>
      </c>
      <c r="O53" s="0" t="n">
        <f aca="false">O52+1</f>
        <v>48</v>
      </c>
      <c r="P53" s="0" t="n">
        <v>2017</v>
      </c>
      <c r="Q53" s="1" t="n">
        <f aca="false">Q52+R52-S52-T52</f>
        <v>2834450.72034058</v>
      </c>
      <c r="R53" s="1" t="n">
        <f aca="false">Q53*$R$35+$R$31</f>
        <v>141722.536017029</v>
      </c>
      <c r="S53" s="1" t="n">
        <f aca="false">R53*$S$35</f>
        <v>0</v>
      </c>
      <c r="T53" s="0" t="n">
        <f aca="false">M53</f>
        <v>153080.197968088</v>
      </c>
      <c r="U53" s="1"/>
      <c r="V53" s="0" t="n">
        <f aca="false">V52+1</f>
        <v>48</v>
      </c>
      <c r="W53" s="0" t="n">
        <v>2017</v>
      </c>
      <c r="X53" s="1" t="n">
        <f aca="false">X52+Y52-Z52-AA52</f>
        <v>11178259.2831153</v>
      </c>
      <c r="Y53" s="1" t="n">
        <f aca="false">X53*$Y$35</f>
        <v>1676738.89246729</v>
      </c>
      <c r="Z53" s="1" t="n">
        <f aca="false">Y53*$Z$35</f>
        <v>503021.667740188</v>
      </c>
      <c r="AB53" s="0" t="n">
        <f aca="false">V53</f>
        <v>48</v>
      </c>
      <c r="AC53" s="1" t="n">
        <f aca="false">X53+Q53+H53</f>
        <v>19084420.0313889</v>
      </c>
    </row>
    <row r="54" customFormat="false" ht="15" hidden="false" customHeight="false" outlineLevel="0" collapsed="false">
      <c r="F54" s="0" t="n">
        <f aca="false">F53+1</f>
        <v>49</v>
      </c>
      <c r="G54" s="0" t="n">
        <v>2018</v>
      </c>
      <c r="H54" s="1" t="n">
        <f aca="false">H53+I53-J53-K53</f>
        <v>5396299.46972071</v>
      </c>
      <c r="I54" s="1" t="n">
        <f aca="false">H54*$I$35</f>
        <v>431703.957577657</v>
      </c>
      <c r="J54" s="1" t="n">
        <f aca="false">I54*$J$37</f>
        <v>86340.7915155313</v>
      </c>
      <c r="M54" s="1" t="n">
        <f aca="false">M53*(1+$L$36)</f>
        <v>159203.405886811</v>
      </c>
      <c r="O54" s="0" t="n">
        <f aca="false">O53+1</f>
        <v>49</v>
      </c>
      <c r="P54" s="0" t="n">
        <v>2018</v>
      </c>
      <c r="Q54" s="1" t="n">
        <f aca="false">Q53+R53-S53-T53</f>
        <v>2823093.05838952</v>
      </c>
      <c r="R54" s="1" t="n">
        <f aca="false">Q54*$R$35+$R$31</f>
        <v>141154.652919476</v>
      </c>
      <c r="S54" s="1" t="n">
        <f aca="false">R54*$S$35</f>
        <v>0</v>
      </c>
      <c r="T54" s="0" t="n">
        <f aca="false">M54</f>
        <v>159203.405886811</v>
      </c>
      <c r="U54" s="1"/>
      <c r="V54" s="0" t="n">
        <f aca="false">V53+1</f>
        <v>49</v>
      </c>
      <c r="W54" s="0" t="n">
        <v>2018</v>
      </c>
      <c r="X54" s="1" t="n">
        <f aca="false">X53+Y53-Z53-AA53</f>
        <v>12351976.5078424</v>
      </c>
      <c r="Y54" s="1" t="n">
        <f aca="false">X54*$Y$35</f>
        <v>1852796.47617636</v>
      </c>
      <c r="Z54" s="1" t="n">
        <f aca="false">Y54*$Z$35</f>
        <v>555838.942852907</v>
      </c>
      <c r="AB54" s="0" t="n">
        <f aca="false">V54</f>
        <v>49</v>
      </c>
      <c r="AC54" s="1" t="n">
        <f aca="false">X54+Q54+H54</f>
        <v>20571369.0359526</v>
      </c>
    </row>
    <row r="55" customFormat="false" ht="15" hidden="false" customHeight="false" outlineLevel="0" collapsed="false">
      <c r="F55" s="0" t="n">
        <f aca="false">F54+1</f>
        <v>50</v>
      </c>
      <c r="G55" s="0" t="n">
        <v>2019</v>
      </c>
      <c r="H55" s="1" t="n">
        <f aca="false">H54+I54-J54-K54</f>
        <v>5741662.63578283</v>
      </c>
      <c r="I55" s="1" t="n">
        <f aca="false">H55*$I$35</f>
        <v>459333.010862627</v>
      </c>
      <c r="J55" s="1" t="n">
        <f aca="false">I55*$J$37</f>
        <v>91866.6021725253</v>
      </c>
      <c r="M55" s="1" t="n">
        <f aca="false">M54*(1+$L$36)</f>
        <v>165571.542122284</v>
      </c>
      <c r="O55" s="0" t="n">
        <f aca="false">O54+1</f>
        <v>50</v>
      </c>
      <c r="P55" s="0" t="n">
        <v>2019</v>
      </c>
      <c r="Q55" s="1" t="n">
        <f aca="false">Q54+R54-S54-T54</f>
        <v>2805044.30542219</v>
      </c>
      <c r="R55" s="1" t="n">
        <f aca="false">Q55*$R$35+$R$31</f>
        <v>140252.215271109</v>
      </c>
      <c r="S55" s="1" t="n">
        <f aca="false">R55*$S$35</f>
        <v>0</v>
      </c>
      <c r="T55" s="0" t="n">
        <f aca="false">M55</f>
        <v>165571.542122284</v>
      </c>
      <c r="U55" s="1"/>
      <c r="V55" s="0" t="n">
        <f aca="false">V54+1</f>
        <v>50</v>
      </c>
      <c r="W55" s="0" t="n">
        <v>2019</v>
      </c>
      <c r="X55" s="1" t="n">
        <f aca="false">X54+Y54-Z54-AA54</f>
        <v>13648934.0411658</v>
      </c>
      <c r="Y55" s="1" t="n">
        <f aca="false">X55*$Y$35</f>
        <v>2047340.10617488</v>
      </c>
      <c r="Z55" s="1" t="n">
        <f aca="false">Y55*$Z$35</f>
        <v>614202.031852462</v>
      </c>
      <c r="AB55" s="0" t="n">
        <f aca="false">V55</f>
        <v>50</v>
      </c>
      <c r="AC55" s="1" t="n">
        <f aca="false">X55+Q55+H55</f>
        <v>22195640.9823709</v>
      </c>
    </row>
    <row r="56" customFormat="false" ht="15" hidden="false" customHeight="false" outlineLevel="0" collapsed="false">
      <c r="F56" s="0" t="n">
        <f aca="false">F55+1</f>
        <v>51</v>
      </c>
      <c r="G56" s="0" t="n">
        <v>2020</v>
      </c>
      <c r="H56" s="1" t="n">
        <f aca="false">H55+I55-J55-K55</f>
        <v>6109129.04447294</v>
      </c>
      <c r="I56" s="1" t="n">
        <f aca="false">H56*$I$35</f>
        <v>488730.323557835</v>
      </c>
      <c r="J56" s="1" t="n">
        <f aca="false">I56*$J$37</f>
        <v>97746.064711567</v>
      </c>
      <c r="K56" s="0" t="n">
        <f aca="false">M56</f>
        <v>172194.403807175</v>
      </c>
      <c r="M56" s="1" t="n">
        <f aca="false">M55*(1+$L$36)</f>
        <v>172194.403807175</v>
      </c>
      <c r="O56" s="0" t="n">
        <f aca="false">O55+1</f>
        <v>51</v>
      </c>
      <c r="P56" s="0" t="n">
        <v>2020</v>
      </c>
      <c r="Q56" s="1" t="n">
        <f aca="false">Q55+R55-S55-T55</f>
        <v>2779724.97857101</v>
      </c>
      <c r="R56" s="1" t="n">
        <f aca="false">Q56*$R$35+$R$31</f>
        <v>138986.248928551</v>
      </c>
      <c r="S56" s="1" t="n">
        <f aca="false">R56*$S$35</f>
        <v>0</v>
      </c>
      <c r="T56" s="0" t="n">
        <f aca="false">M56</f>
        <v>172194.403807175</v>
      </c>
      <c r="U56" s="1"/>
      <c r="V56" s="0" t="n">
        <f aca="false">V55+1</f>
        <v>51</v>
      </c>
      <c r="W56" s="0" t="n">
        <v>2020</v>
      </c>
      <c r="X56" s="1" t="n">
        <f aca="false">X55+Y55-Z55-AA55</f>
        <v>15082072.1154882</v>
      </c>
      <c r="Y56" s="1" t="n">
        <f aca="false">X56*$Y$35</f>
        <v>2262310.81732324</v>
      </c>
      <c r="Z56" s="1" t="n">
        <f aca="false">Y56*$Z$35</f>
        <v>678693.245196971</v>
      </c>
      <c r="AB56" s="0" t="n">
        <f aca="false">V56</f>
        <v>51</v>
      </c>
      <c r="AC56" s="1" t="n">
        <f aca="false">X56+Q56+H56</f>
        <v>23970926.1385322</v>
      </c>
    </row>
    <row r="57" customFormat="false" ht="15" hidden="false" customHeight="false" outlineLevel="0" collapsed="false">
      <c r="F57" s="0" t="n">
        <f aca="false">F56+1</f>
        <v>52</v>
      </c>
      <c r="G57" s="0" t="n">
        <v>2021</v>
      </c>
      <c r="H57" s="1" t="n">
        <f aca="false">H56+I56-J56-K56</f>
        <v>6327918.89951203</v>
      </c>
      <c r="I57" s="1" t="n">
        <f aca="false">H57*$I$35</f>
        <v>506233.511960962</v>
      </c>
      <c r="J57" s="1" t="n">
        <f aca="false">I57*$J$37</f>
        <v>101246.702392192</v>
      </c>
      <c r="K57" s="0" t="n">
        <f aca="false">M57</f>
        <v>179082.179959462</v>
      </c>
      <c r="M57" s="1" t="n">
        <f aca="false">M56*(1+$L$36)</f>
        <v>179082.179959462</v>
      </c>
      <c r="O57" s="0" t="n">
        <f aca="false">O56+1</f>
        <v>52</v>
      </c>
      <c r="P57" s="0" t="n">
        <v>2021</v>
      </c>
      <c r="Q57" s="1" t="n">
        <f aca="false">Q56+R56-S56-T56</f>
        <v>2746516.82369239</v>
      </c>
      <c r="R57" s="1" t="n">
        <f aca="false">Q57*$R$35+$R$31</f>
        <v>137325.841184619</v>
      </c>
      <c r="S57" s="1" t="n">
        <f aca="false">R57*$S$35</f>
        <v>0</v>
      </c>
      <c r="T57" s="0" t="n">
        <f aca="false">M57</f>
        <v>179082.179959462</v>
      </c>
      <c r="U57" s="1"/>
      <c r="V57" s="0" t="n">
        <f aca="false">V56+1</f>
        <v>52</v>
      </c>
      <c r="W57" s="0" t="n">
        <v>2021</v>
      </c>
      <c r="X57" s="1" t="n">
        <f aca="false">X56+Y56-Z56-AA56</f>
        <v>16665689.6876145</v>
      </c>
      <c r="Y57" s="1" t="n">
        <f aca="false">X57*$Y$35</f>
        <v>2499853.45314218</v>
      </c>
      <c r="Z57" s="1" t="n">
        <f aca="false">Y57*$Z$35</f>
        <v>749956.035942653</v>
      </c>
      <c r="AB57" s="0" t="n">
        <f aca="false">V57</f>
        <v>52</v>
      </c>
      <c r="AC57" s="1" t="n">
        <f aca="false">X57+Q57+H57</f>
        <v>25740125.4108189</v>
      </c>
    </row>
    <row r="58" customFormat="false" ht="15" hidden="false" customHeight="false" outlineLevel="0" collapsed="false">
      <c r="F58" s="0" t="n">
        <f aca="false">F57+1</f>
        <v>53</v>
      </c>
      <c r="G58" s="0" t="n">
        <v>2022</v>
      </c>
      <c r="H58" s="1" t="n">
        <f aca="false">H57+I57-J57-K57</f>
        <v>6553823.52912134</v>
      </c>
      <c r="I58" s="1" t="n">
        <f aca="false">H58*$I$35</f>
        <v>524305.882329707</v>
      </c>
      <c r="J58" s="1" t="n">
        <f aca="false">I58*$J$37</f>
        <v>104861.176465941</v>
      </c>
      <c r="K58" s="0" t="n">
        <f aca="false">M58</f>
        <v>186245.467157841</v>
      </c>
      <c r="M58" s="1" t="n">
        <f aca="false">M57*(1+$L$36)</f>
        <v>186245.467157841</v>
      </c>
      <c r="O58" s="0" t="n">
        <f aca="false">O57+1</f>
        <v>53</v>
      </c>
      <c r="P58" s="0" t="n">
        <v>2022</v>
      </c>
      <c r="Q58" s="1" t="n">
        <f aca="false">Q57+R57-S57-T57</f>
        <v>2704760.48491754</v>
      </c>
      <c r="R58" s="1" t="n">
        <f aca="false">Q58*$R$35+$R$31</f>
        <v>135238.024245877</v>
      </c>
      <c r="S58" s="1" t="n">
        <f aca="false">R58*$S$35</f>
        <v>0</v>
      </c>
      <c r="T58" s="0" t="n">
        <f aca="false">M58</f>
        <v>186245.467157841</v>
      </c>
      <c r="U58" s="1"/>
      <c r="V58" s="0" t="n">
        <f aca="false">V57+1</f>
        <v>53</v>
      </c>
      <c r="W58" s="0" t="n">
        <v>2022</v>
      </c>
      <c r="X58" s="1" t="n">
        <f aca="false">X57+Y57-Z57-AA57</f>
        <v>18415587.104814</v>
      </c>
      <c r="Y58" s="1" t="n">
        <f aca="false">X58*$Y$35</f>
        <v>2762338.06572211</v>
      </c>
      <c r="Z58" s="1" t="n">
        <f aca="false">Y58*$Z$35</f>
        <v>828701.419716632</v>
      </c>
      <c r="AB58" s="0" t="n">
        <f aca="false">V58</f>
        <v>53</v>
      </c>
      <c r="AC58" s="1" t="n">
        <f aca="false">X58+Q58+H58</f>
        <v>27674171.1188529</v>
      </c>
    </row>
    <row r="59" customFormat="false" ht="15" hidden="false" customHeight="false" outlineLevel="0" collapsed="false">
      <c r="F59" s="0" t="n">
        <f aca="false">F58+1</f>
        <v>54</v>
      </c>
      <c r="G59" s="0" t="n">
        <v>2023</v>
      </c>
      <c r="H59" s="1" t="n">
        <f aca="false">H58+I58-J58-K58</f>
        <v>6787022.76782726</v>
      </c>
      <c r="I59" s="1" t="n">
        <f aca="false">H59*$I$35</f>
        <v>542961.821426181</v>
      </c>
      <c r="J59" s="1" t="n">
        <f aca="false">I59*$J$37</f>
        <v>108592.364285236</v>
      </c>
      <c r="K59" s="0" t="n">
        <f aca="false">M59</f>
        <v>193695.285844154</v>
      </c>
      <c r="M59" s="1" t="n">
        <f aca="false">M58*(1+$L$36)</f>
        <v>193695.285844154</v>
      </c>
      <c r="O59" s="0" t="n">
        <f aca="false">O58+1</f>
        <v>54</v>
      </c>
      <c r="P59" s="0" t="n">
        <v>2023</v>
      </c>
      <c r="Q59" s="1" t="n">
        <f aca="false">Q58+R58-S58-T58</f>
        <v>2653753.04200558</v>
      </c>
      <c r="R59" s="1" t="n">
        <f aca="false">Q59*$R$35+$R$31</f>
        <v>132687.652100279</v>
      </c>
      <c r="S59" s="1" t="n">
        <f aca="false">R59*$S$35</f>
        <v>0</v>
      </c>
      <c r="T59" s="0" t="n">
        <f aca="false">M59</f>
        <v>193695.285844154</v>
      </c>
      <c r="U59" s="1"/>
      <c r="V59" s="0" t="n">
        <f aca="false">V58+1</f>
        <v>54</v>
      </c>
      <c r="W59" s="0" t="n">
        <v>2023</v>
      </c>
      <c r="X59" s="1" t="n">
        <f aca="false">X58+Y58-Z58-AA58</f>
        <v>20349223.7508195</v>
      </c>
      <c r="Y59" s="1" t="n">
        <f aca="false">X59*$Y$35</f>
        <v>3052383.56262293</v>
      </c>
      <c r="Z59" s="1" t="n">
        <f aca="false">Y59*$Z$35</f>
        <v>915715.068786878</v>
      </c>
      <c r="AB59" s="0" t="n">
        <f aca="false">V59</f>
        <v>54</v>
      </c>
      <c r="AC59" s="1" t="n">
        <f aca="false">X59+Q59+H59</f>
        <v>29789999.5606524</v>
      </c>
    </row>
    <row r="60" customFormat="false" ht="15" hidden="false" customHeight="false" outlineLevel="0" collapsed="false">
      <c r="F60" s="0" t="n">
        <f aca="false">F59+1</f>
        <v>55</v>
      </c>
      <c r="G60" s="0" t="n">
        <v>2024</v>
      </c>
      <c r="H60" s="1" t="n">
        <f aca="false">H59+I59-J59-K59</f>
        <v>7027696.93912405</v>
      </c>
      <c r="I60" s="1" t="n">
        <f aca="false">H60*$I$35</f>
        <v>562215.755129924</v>
      </c>
      <c r="J60" s="1" t="n">
        <f aca="false">I60*$J$37</f>
        <v>112443.151025985</v>
      </c>
      <c r="K60" s="0" t="n">
        <f aca="false">M60</f>
        <v>201443.097277921</v>
      </c>
      <c r="M60" s="1" t="n">
        <f aca="false">M59*(1+$L$36)</f>
        <v>201443.097277921</v>
      </c>
      <c r="O60" s="0" t="n">
        <f aca="false">O59+1</f>
        <v>55</v>
      </c>
      <c r="P60" s="0" t="n">
        <v>2024</v>
      </c>
      <c r="Q60" s="1" t="n">
        <f aca="false">Q59+R59-S59-T59</f>
        <v>2592745.4082617</v>
      </c>
      <c r="R60" s="1" t="n">
        <f aca="false">Q60*$R$35+$R$31</f>
        <v>129637.270413085</v>
      </c>
      <c r="S60" s="1" t="n">
        <f aca="false">R60*$S$35</f>
        <v>0</v>
      </c>
      <c r="T60" s="0" t="n">
        <f aca="false">M60</f>
        <v>201443.097277921</v>
      </c>
      <c r="U60" s="1"/>
      <c r="V60" s="0" t="n">
        <f aca="false">V59+1</f>
        <v>55</v>
      </c>
      <c r="W60" s="0" t="n">
        <v>2024</v>
      </c>
      <c r="X60" s="1" t="n">
        <f aca="false">X59+Y59-Z59-AA59</f>
        <v>22485892.2446556</v>
      </c>
      <c r="Y60" s="1" t="n">
        <f aca="false">X60*$Y$35</f>
        <v>3372883.83669833</v>
      </c>
      <c r="Z60" s="1" t="n">
        <f aca="false">Y60*$Z$35</f>
        <v>1011865.1510095</v>
      </c>
      <c r="AB60" s="0" t="n">
        <f aca="false">V60</f>
        <v>55</v>
      </c>
      <c r="AC60" s="1" t="n">
        <f aca="false">X60+Q60+H60</f>
        <v>32106334.5920413</v>
      </c>
    </row>
    <row r="61" customFormat="false" ht="15" hidden="false" customHeight="false" outlineLevel="0" collapsed="false">
      <c r="F61" s="0" t="n">
        <f aca="false">F60+1</f>
        <v>56</v>
      </c>
      <c r="G61" s="0" t="n">
        <v>2025</v>
      </c>
      <c r="H61" s="1" t="n">
        <f aca="false">H60+I60-J60-K60</f>
        <v>7276026.44595007</v>
      </c>
      <c r="I61" s="1" t="n">
        <f aca="false">H61*$I$35</f>
        <v>582082.115676006</v>
      </c>
      <c r="J61" s="1" t="n">
        <f aca="false">I61*$J$37</f>
        <v>116416.423135201</v>
      </c>
      <c r="K61" s="0" t="n">
        <f aca="false">M61</f>
        <v>209500.821169037</v>
      </c>
      <c r="M61" s="1" t="n">
        <f aca="false">M60*(1+$L$36)</f>
        <v>209500.821169037</v>
      </c>
      <c r="O61" s="0" t="n">
        <f aca="false">O60+1</f>
        <v>56</v>
      </c>
      <c r="P61" s="0" t="n">
        <v>2025</v>
      </c>
      <c r="Q61" s="1" t="n">
        <f aca="false">Q60+R60-S60-T60</f>
        <v>2520939.58139687</v>
      </c>
      <c r="R61" s="1" t="n">
        <f aca="false">Q61*$R$35+$R$31</f>
        <v>126046.979069843</v>
      </c>
      <c r="S61" s="1" t="n">
        <f aca="false">R61*$S$35</f>
        <v>0</v>
      </c>
      <c r="T61" s="0" t="n">
        <f aca="false">M61</f>
        <v>209500.821169037</v>
      </c>
      <c r="V61" s="0" t="n">
        <f aca="false">V60+1</f>
        <v>56</v>
      </c>
      <c r="W61" s="0" t="n">
        <v>2025</v>
      </c>
      <c r="X61" s="1" t="n">
        <f aca="false">X60+Y60-Z60-AA60</f>
        <v>24846910.9303444</v>
      </c>
      <c r="Y61" s="1" t="n">
        <f aca="false">X61*$Y$35</f>
        <v>3727036.63955166</v>
      </c>
      <c r="Z61" s="1" t="n">
        <f aca="false">Y61*$Z$35</f>
        <v>1118110.9918655</v>
      </c>
      <c r="AB61" s="0" t="n">
        <f aca="false">V61</f>
        <v>56</v>
      </c>
      <c r="AC61" s="1" t="n">
        <f aca="false">X61+Q61+H61</f>
        <v>34643876.9576913</v>
      </c>
    </row>
    <row r="62" customFormat="false" ht="15" hidden="false" customHeight="false" outlineLevel="0" collapsed="false">
      <c r="F62" s="0" t="n">
        <f aca="false">F61+1</f>
        <v>57</v>
      </c>
      <c r="G62" s="0" t="n">
        <v>2026</v>
      </c>
      <c r="H62" s="1" t="n">
        <f aca="false">H61+I61-J61-K61</f>
        <v>7532191.31732184</v>
      </c>
      <c r="I62" s="1" t="n">
        <f aca="false">H62*$I$35</f>
        <v>602575.305385747</v>
      </c>
      <c r="J62" s="1" t="n">
        <f aca="false">I62*$J$37</f>
        <v>120515.061077149</v>
      </c>
      <c r="K62" s="0" t="n">
        <f aca="false">M62</f>
        <v>217880.854015799</v>
      </c>
      <c r="M62" s="1" t="n">
        <f aca="false">M61*(1+$L$36)</f>
        <v>217880.854015799</v>
      </c>
      <c r="O62" s="0" t="n">
        <f aca="false">O61+1</f>
        <v>57</v>
      </c>
      <c r="P62" s="0" t="n">
        <v>2026</v>
      </c>
      <c r="Q62" s="1" t="n">
        <f aca="false">Q61+R61-S61-T61</f>
        <v>2437485.73929767</v>
      </c>
      <c r="R62" s="1" t="n">
        <f aca="false">Q62*$R$35+$R$31</f>
        <v>121874.286964884</v>
      </c>
      <c r="S62" s="1" t="n">
        <f aca="false">R62*$S$35</f>
        <v>0</v>
      </c>
      <c r="T62" s="0" t="n">
        <f aca="false">M62</f>
        <v>217880.854015799</v>
      </c>
      <c r="V62" s="0" t="n">
        <f aca="false">V61+1</f>
        <v>57</v>
      </c>
      <c r="W62" s="0" t="n">
        <v>2026</v>
      </c>
      <c r="X62" s="1" t="n">
        <f aca="false">X61+Y61-Z61-AA61</f>
        <v>27455836.5780306</v>
      </c>
      <c r="Y62" s="1" t="n">
        <f aca="false">X62*$Y$35</f>
        <v>4118375.48670458</v>
      </c>
      <c r="Z62" s="1" t="n">
        <f aca="false">Y62*$Z$35</f>
        <v>1235512.64601138</v>
      </c>
      <c r="AB62" s="0" t="n">
        <f aca="false">V62</f>
        <v>57</v>
      </c>
      <c r="AC62" s="1" t="n">
        <f aca="false">X62+Q62+H62</f>
        <v>37425513.6346501</v>
      </c>
    </row>
    <row r="63" customFormat="false" ht="15" hidden="false" customHeight="false" outlineLevel="0" collapsed="false">
      <c r="F63" s="0" t="n">
        <f aca="false">F62+1</f>
        <v>58</v>
      </c>
      <c r="G63" s="0" t="n">
        <v>2027</v>
      </c>
      <c r="H63" s="1" t="n">
        <f aca="false">H62+I62-J62-K62</f>
        <v>7796370.70761463</v>
      </c>
      <c r="I63" s="1" t="n">
        <f aca="false">H63*$I$35</f>
        <v>623709.656609171</v>
      </c>
      <c r="J63" s="1" t="n">
        <f aca="false">I63*$J$37</f>
        <v>124741.931321834</v>
      </c>
      <c r="K63" s="0" t="n">
        <f aca="false">M63</f>
        <v>226596.088176431</v>
      </c>
      <c r="M63" s="1" t="n">
        <f aca="false">M62*(1+$L$36)</f>
        <v>226596.088176431</v>
      </c>
      <c r="O63" s="0" t="n">
        <f aca="false">O62+1</f>
        <v>58</v>
      </c>
      <c r="P63" s="0" t="n">
        <v>2027</v>
      </c>
      <c r="Q63" s="1" t="n">
        <f aca="false">Q62+R62-S62-T62</f>
        <v>2341479.17224676</v>
      </c>
      <c r="R63" s="1" t="n">
        <f aca="false">Q63*$R$35+$R$31</f>
        <v>117073.958612338</v>
      </c>
      <c r="S63" s="1" t="n">
        <f aca="false">R63*$S$35</f>
        <v>0</v>
      </c>
      <c r="T63" s="0" t="n">
        <f aca="false">M63</f>
        <v>226596.088176431</v>
      </c>
      <c r="V63" s="0" t="n">
        <f aca="false">V62+1</f>
        <v>58</v>
      </c>
      <c r="W63" s="0" t="n">
        <v>2027</v>
      </c>
      <c r="X63" s="1" t="n">
        <f aca="false">X62+Y62-Z62-AA62</f>
        <v>30338699.4187238</v>
      </c>
      <c r="Y63" s="1" t="n">
        <f aca="false">X63*$Y$35</f>
        <v>4550804.91280856</v>
      </c>
      <c r="Z63" s="1" t="n">
        <f aca="false">Y63*$Z$35</f>
        <v>1365241.47384257</v>
      </c>
      <c r="AB63" s="0" t="n">
        <f aca="false">V63</f>
        <v>58</v>
      </c>
      <c r="AC63" s="1" t="n">
        <f aca="false">X63+Q63+H63</f>
        <v>40476549.2985852</v>
      </c>
    </row>
    <row r="64" customFormat="false" ht="15" hidden="false" customHeight="false" outlineLevel="0" collapsed="false">
      <c r="F64" s="0" t="n">
        <f aca="false">F63+1</f>
        <v>59</v>
      </c>
      <c r="G64" s="0" t="n">
        <v>2028</v>
      </c>
      <c r="H64" s="1" t="n">
        <f aca="false">H63+I63-J63-K63</f>
        <v>8068742.34472554</v>
      </c>
      <c r="I64" s="1" t="n">
        <f aca="false">H64*$I$35</f>
        <v>645499.387578043</v>
      </c>
      <c r="J64" s="1" t="n">
        <f aca="false">I64*$J$37</f>
        <v>129099.877515609</v>
      </c>
      <c r="K64" s="0" t="n">
        <f aca="false">M64</f>
        <v>235659.931703488</v>
      </c>
      <c r="M64" s="1" t="n">
        <f aca="false">M63*(1+$L$36)</f>
        <v>235659.931703488</v>
      </c>
      <c r="O64" s="0" t="n">
        <f aca="false">O63+1</f>
        <v>59</v>
      </c>
      <c r="P64" s="0" t="n">
        <v>2028</v>
      </c>
      <c r="Q64" s="1" t="n">
        <f aca="false">Q63+R63-S63-T63</f>
        <v>2231957.04268267</v>
      </c>
      <c r="R64" s="1" t="n">
        <f aca="false">Q64*$R$35+$R$31</f>
        <v>111597.852134133</v>
      </c>
      <c r="S64" s="1" t="n">
        <f aca="false">R64*$S$35</f>
        <v>0</v>
      </c>
      <c r="T64" s="0" t="n">
        <f aca="false">M64</f>
        <v>235659.931703488</v>
      </c>
      <c r="V64" s="0" t="n">
        <f aca="false">V63+1</f>
        <v>59</v>
      </c>
      <c r="W64" s="0" t="n">
        <v>2028</v>
      </c>
      <c r="X64" s="1" t="n">
        <f aca="false">X63+Y63-Z63-AA63</f>
        <v>33524262.8576898</v>
      </c>
      <c r="Y64" s="1" t="n">
        <f aca="false">X64*$Y$35</f>
        <v>5028639.42865346</v>
      </c>
      <c r="Z64" s="1" t="n">
        <f aca="false">Y64*$Z$35</f>
        <v>1508591.82859604</v>
      </c>
      <c r="AB64" s="0" t="n">
        <f aca="false">V64</f>
        <v>59</v>
      </c>
      <c r="AC64" s="1" t="n">
        <f aca="false">X64+Q64+H64</f>
        <v>43824962.245098</v>
      </c>
    </row>
    <row r="65" customFormat="false" ht="15" hidden="false" customHeight="false" outlineLevel="0" collapsed="false">
      <c r="F65" s="0" t="n">
        <f aca="false">F64+1</f>
        <v>60</v>
      </c>
      <c r="G65" s="0" t="n">
        <v>2029</v>
      </c>
      <c r="H65" s="1" t="n">
        <f aca="false">H64+I64-J64-K64</f>
        <v>8349481.92308449</v>
      </c>
      <c r="I65" s="1" t="n">
        <f aca="false">H65*$I$35</f>
        <v>667958.553846759</v>
      </c>
      <c r="J65" s="1" t="n">
        <f aca="false">I65*$J$37</f>
        <v>133591.710769352</v>
      </c>
      <c r="K65" s="0" t="n">
        <f aca="false">M65</f>
        <v>245086.328971628</v>
      </c>
      <c r="M65" s="1" t="n">
        <f aca="false">M64*(1+$L$36)</f>
        <v>245086.328971628</v>
      </c>
      <c r="O65" s="0" t="n">
        <f aca="false">O64+1</f>
        <v>60</v>
      </c>
      <c r="P65" s="0" t="n">
        <v>2029</v>
      </c>
      <c r="Q65" s="1" t="n">
        <f aca="false">Q64+R64-S64-T64</f>
        <v>2107894.96311331</v>
      </c>
      <c r="R65" s="1" t="n">
        <f aca="false">Q65*$R$35+$R$31</f>
        <v>105394.748155666</v>
      </c>
      <c r="S65" s="1" t="n">
        <f aca="false">R65*$S$35</f>
        <v>0</v>
      </c>
      <c r="T65" s="0" t="n">
        <f aca="false">M65</f>
        <v>245086.328971628</v>
      </c>
      <c r="V65" s="0" t="n">
        <f aca="false">V64+1</f>
        <v>60</v>
      </c>
      <c r="W65" s="0" t="n">
        <v>2029</v>
      </c>
      <c r="X65" s="1" t="n">
        <f aca="false">X64+Y64-Z64-AA64</f>
        <v>37044310.4577472</v>
      </c>
      <c r="Y65" s="1" t="n">
        <f aca="false">X65*$Y$35</f>
        <v>5556646.56866208</v>
      </c>
      <c r="Z65" s="1" t="n">
        <f aca="false">Y65*$Z$35</f>
        <v>1666993.97059862</v>
      </c>
      <c r="AB65" s="0" t="n">
        <f aca="false">V65</f>
        <v>60</v>
      </c>
      <c r="AC65" s="1" t="n">
        <f aca="false">X65+Q65+H65</f>
        <v>47501687.343945</v>
      </c>
    </row>
    <row r="66" customFormat="false" ht="15" hidden="false" customHeight="false" outlineLevel="0" collapsed="false">
      <c r="F66" s="0" t="n">
        <f aca="false">F65+1</f>
        <v>61</v>
      </c>
      <c r="G66" s="0" t="n">
        <v>2030</v>
      </c>
      <c r="H66" s="1" t="n">
        <f aca="false">H65+I65-J65-K65</f>
        <v>8638762.43719026</v>
      </c>
      <c r="I66" s="1" t="n">
        <f aca="false">H66*$I$35</f>
        <v>691100.994975221</v>
      </c>
      <c r="J66" s="1" t="n">
        <f aca="false">I66*$J$37</f>
        <v>138220.198995044</v>
      </c>
      <c r="K66" s="0" t="n">
        <f aca="false">M66</f>
        <v>254889.782130493</v>
      </c>
      <c r="M66" s="1" t="n">
        <f aca="false">M65*(1+$L$36)</f>
        <v>254889.782130493</v>
      </c>
      <c r="O66" s="0" t="n">
        <f aca="false">O65+1</f>
        <v>61</v>
      </c>
      <c r="P66" s="0" t="n">
        <v>2030</v>
      </c>
      <c r="Q66" s="1" t="n">
        <f aca="false">Q65+R65-S65-T65</f>
        <v>1968203.38229735</v>
      </c>
      <c r="R66" s="1" t="n">
        <f aca="false">Q66*$R$35+$R$31</f>
        <v>98410.1691148674</v>
      </c>
      <c r="S66" s="1" t="n">
        <f aca="false">R66*$S$35</f>
        <v>0</v>
      </c>
      <c r="T66" s="0" t="n">
        <f aca="false">M66</f>
        <v>254889.782130493</v>
      </c>
      <c r="V66" s="0" t="n">
        <f aca="false">V65+1</f>
        <v>61</v>
      </c>
      <c r="W66" s="0" t="n">
        <v>2030</v>
      </c>
      <c r="X66" s="1" t="n">
        <f aca="false">X65+Y65-Z65-AA65</f>
        <v>40933963.0558106</v>
      </c>
      <c r="Y66" s="1" t="n">
        <f aca="false">X66*$Y$35</f>
        <v>6140094.4583716</v>
      </c>
      <c r="Z66" s="1" t="n">
        <f aca="false">Y66*$Z$35</f>
        <v>1842028.33751148</v>
      </c>
      <c r="AB66" s="0" t="n">
        <f aca="false">V66</f>
        <v>61</v>
      </c>
      <c r="AC66" s="1" t="n">
        <f aca="false">X66+Q66+H66</f>
        <v>51540928.8752983</v>
      </c>
    </row>
    <row r="67" customFormat="false" ht="15" hidden="false" customHeight="false" outlineLevel="0" collapsed="false">
      <c r="F67" s="0" t="n">
        <f aca="false">F66+1</f>
        <v>62</v>
      </c>
      <c r="G67" s="0" t="n">
        <v>2031</v>
      </c>
      <c r="H67" s="1" t="n">
        <f aca="false">H66+I66-J66-K66</f>
        <v>8936753.45103995</v>
      </c>
      <c r="I67" s="1" t="n">
        <f aca="false">H67*$I$35</f>
        <v>714940.276083196</v>
      </c>
      <c r="J67" s="1" t="n">
        <f aca="false">I67*$J$37</f>
        <v>142988.055216639</v>
      </c>
      <c r="K67" s="0" t="n">
        <f aca="false">M67</f>
        <v>265085.373415713</v>
      </c>
      <c r="M67" s="1" t="n">
        <f aca="false">M66*(1+$L$36)</f>
        <v>265085.373415713</v>
      </c>
      <c r="O67" s="0" t="n">
        <f aca="false">O66+1</f>
        <v>62</v>
      </c>
      <c r="P67" s="0" t="n">
        <v>2031</v>
      </c>
      <c r="Q67" s="1" t="n">
        <f aca="false">Q66+R66-S66-T66</f>
        <v>1811723.76928172</v>
      </c>
      <c r="R67" s="1" t="n">
        <f aca="false">Q67*$R$35+$R$31</f>
        <v>90586.1884640862</v>
      </c>
      <c r="S67" s="1" t="n">
        <f aca="false">R67*$S$35</f>
        <v>0</v>
      </c>
      <c r="T67" s="0" t="n">
        <f aca="false">M67</f>
        <v>265085.373415713</v>
      </c>
      <c r="V67" s="0" t="n">
        <f aca="false">V66+1</f>
        <v>62</v>
      </c>
      <c r="W67" s="0" t="n">
        <v>2031</v>
      </c>
      <c r="X67" s="1" t="n">
        <f aca="false">X66+Y66-Z66-AA66</f>
        <v>45232029.1766708</v>
      </c>
      <c r="Y67" s="1" t="n">
        <f aca="false">X67*$Y$35</f>
        <v>6784804.37650061</v>
      </c>
      <c r="Z67" s="1" t="n">
        <f aca="false">Y67*$Z$35</f>
        <v>2035441.31295018</v>
      </c>
      <c r="AB67" s="0" t="n">
        <f aca="false">V67</f>
        <v>62</v>
      </c>
      <c r="AC67" s="1" t="n">
        <f aca="false">X67+Q67+H67</f>
        <v>55980506.3969924</v>
      </c>
    </row>
    <row r="68" customFormat="false" ht="15" hidden="false" customHeight="false" outlineLevel="0" collapsed="false">
      <c r="F68" s="0" t="n">
        <f aca="false">F67+1</f>
        <v>63</v>
      </c>
      <c r="G68" s="0" t="n">
        <v>2032</v>
      </c>
      <c r="H68" s="1" t="n">
        <f aca="false">H67+I67-J67-K67</f>
        <v>9243620.29849079</v>
      </c>
      <c r="I68" s="1" t="n">
        <f aca="false">H68*$I$35</f>
        <v>739489.623879263</v>
      </c>
      <c r="J68" s="1" t="n">
        <f aca="false">I68*$J$37</f>
        <v>147897.924775853</v>
      </c>
      <c r="K68" s="0" t="n">
        <f aca="false">M68</f>
        <v>275688.788352341</v>
      </c>
      <c r="M68" s="1" t="n">
        <f aca="false">M67*(1+$L$36)</f>
        <v>275688.788352341</v>
      </c>
      <c r="O68" s="0" t="n">
        <f aca="false">O67+1</f>
        <v>63</v>
      </c>
      <c r="P68" s="0" t="n">
        <v>2032</v>
      </c>
      <c r="Q68" s="1" t="n">
        <f aca="false">Q67+R67-S67-T67</f>
        <v>1637224.5843301</v>
      </c>
      <c r="R68" s="1" t="n">
        <f aca="false">Q68*$R$35+$R$31</f>
        <v>81861.2292165048</v>
      </c>
      <c r="S68" s="1" t="n">
        <f aca="false">R68*$S$35</f>
        <v>0</v>
      </c>
      <c r="T68" s="0" t="n">
        <f aca="false">M68</f>
        <v>275688.788352341</v>
      </c>
      <c r="V68" s="0" t="n">
        <f aca="false">V67+1</f>
        <v>63</v>
      </c>
      <c r="W68" s="0" t="n">
        <v>2032</v>
      </c>
      <c r="X68" s="1" t="n">
        <f aca="false">X67+Y67-Z67-AA67</f>
        <v>49981392.2402212</v>
      </c>
      <c r="Y68" s="1" t="n">
        <f aca="false">X68*$Y$35</f>
        <v>7497208.83603318</v>
      </c>
      <c r="Z68" s="1" t="n">
        <f aca="false">Y68*$Z$35</f>
        <v>2249162.65080995</v>
      </c>
      <c r="AB68" s="0" t="n">
        <f aca="false">V68</f>
        <v>63</v>
      </c>
      <c r="AC68" s="1" t="n">
        <f aca="false">X68+Q68+H68</f>
        <v>60862237.1230421</v>
      </c>
    </row>
    <row r="69" customFormat="false" ht="15" hidden="false" customHeight="false" outlineLevel="0" collapsed="false">
      <c r="F69" s="0" t="n">
        <f aca="false">F68+1</f>
        <v>64</v>
      </c>
      <c r="G69" s="0" t="n">
        <v>2033</v>
      </c>
      <c r="H69" s="1" t="n">
        <f aca="false">H68+I68-J68-K68</f>
        <v>9559523.20924186</v>
      </c>
      <c r="I69" s="1" t="n">
        <f aca="false">H69*$I$35</f>
        <v>764761.856739349</v>
      </c>
      <c r="J69" s="1" t="n">
        <f aca="false">I69*$J$37</f>
        <v>152952.37134787</v>
      </c>
      <c r="K69" s="0" t="n">
        <f aca="false">M69</f>
        <v>286716.339886435</v>
      </c>
      <c r="M69" s="1" t="n">
        <f aca="false">M68*(1+$L$36)</f>
        <v>286716.339886435</v>
      </c>
      <c r="O69" s="0" t="n">
        <f aca="false">O68+1</f>
        <v>64</v>
      </c>
      <c r="P69" s="0" t="n">
        <v>2033</v>
      </c>
      <c r="Q69" s="1" t="n">
        <f aca="false">Q68+R68-S68-T68</f>
        <v>1443397.02519426</v>
      </c>
      <c r="R69" s="1" t="n">
        <f aca="false">Q69*$R$35+$R$31</f>
        <v>72169.851259713</v>
      </c>
      <c r="S69" s="1" t="n">
        <f aca="false">R69*$S$35</f>
        <v>0</v>
      </c>
      <c r="T69" s="0" t="n">
        <f aca="false">M69</f>
        <v>286716.339886435</v>
      </c>
      <c r="V69" s="0" t="n">
        <f aca="false">V68+1</f>
        <v>64</v>
      </c>
      <c r="W69" s="0" t="n">
        <v>2033</v>
      </c>
      <c r="X69" s="1" t="n">
        <f aca="false">X68+Y68-Z68-AA68</f>
        <v>55229438.4254444</v>
      </c>
      <c r="Y69" s="1" t="n">
        <f aca="false">X69*$Y$35</f>
        <v>8284415.76381666</v>
      </c>
      <c r="Z69" s="1" t="n">
        <f aca="false">Y69*$Z$35</f>
        <v>2485324.729145</v>
      </c>
      <c r="AB69" s="0" t="n">
        <f aca="false">V69</f>
        <v>64</v>
      </c>
      <c r="AC69" s="1" t="n">
        <f aca="false">X69+Q69+H69</f>
        <v>66232358.6598805</v>
      </c>
    </row>
    <row r="70" customFormat="false" ht="15" hidden="false" customHeight="false" outlineLevel="0" collapsed="false">
      <c r="F70" s="0" t="n">
        <f aca="false">F69+1</f>
        <v>65</v>
      </c>
      <c r="G70" s="0" t="n">
        <v>2034</v>
      </c>
      <c r="H70" s="1" t="n">
        <f aca="false">H69+I69-J69-K69</f>
        <v>9884616.35474691</v>
      </c>
      <c r="I70" s="1" t="n">
        <f aca="false">H70*$I$35</f>
        <v>790769.308379753</v>
      </c>
      <c r="J70" s="1" t="n">
        <f aca="false">I70*$J$37</f>
        <v>158153.861675951</v>
      </c>
      <c r="K70" s="0" t="n">
        <f aca="false">M70</f>
        <v>298184.993481892</v>
      </c>
      <c r="M70" s="1" t="n">
        <f aca="false">M69*(1+$L$36)</f>
        <v>298184.993481892</v>
      </c>
      <c r="O70" s="0" t="n">
        <f aca="false">O69+1</f>
        <v>65</v>
      </c>
      <c r="P70" s="0" t="n">
        <v>2034</v>
      </c>
      <c r="Q70" s="1" t="n">
        <f aca="false">Q69+R69-S69-T69</f>
        <v>1228850.53656754</v>
      </c>
      <c r="R70" s="1" t="n">
        <f aca="false">Q70*$R$35+$R$31</f>
        <v>61442.526828377</v>
      </c>
      <c r="S70" s="1" t="n">
        <f aca="false">R70*$S$35</f>
        <v>0</v>
      </c>
      <c r="T70" s="0" t="n">
        <f aca="false">M70</f>
        <v>298184.993481892</v>
      </c>
      <c r="V70" s="0" t="n">
        <f aca="false">V69+1</f>
        <v>65</v>
      </c>
      <c r="W70" s="0" t="n">
        <v>2034</v>
      </c>
      <c r="X70" s="1" t="n">
        <f aca="false">X69+Y69-Z69-AA69</f>
        <v>61028529.4601161</v>
      </c>
      <c r="Y70" s="1" t="n">
        <f aca="false">X70*$Y$35</f>
        <v>9154279.41901741</v>
      </c>
      <c r="Z70" s="1" t="n">
        <f aca="false">Y70*$Z$35</f>
        <v>2746283.82570522</v>
      </c>
      <c r="AB70" s="0" t="n">
        <f aca="false">V70</f>
        <v>65</v>
      </c>
      <c r="AC70" s="1" t="n">
        <f aca="false">X70+Q70+H70</f>
        <v>72141996.3514305</v>
      </c>
    </row>
    <row r="71" customFormat="false" ht="15" hidden="false" customHeight="false" outlineLevel="0" collapsed="false">
      <c r="F71" s="0" t="n">
        <f aca="false">F70+1</f>
        <v>66</v>
      </c>
      <c r="G71" s="0" t="n">
        <v>2035</v>
      </c>
      <c r="H71" s="1" t="n">
        <f aca="false">H70+I70-J70-K70</f>
        <v>10219046.8079688</v>
      </c>
      <c r="I71" s="1" t="n">
        <f aca="false">H71*$I$35</f>
        <v>817523.744637506</v>
      </c>
      <c r="J71" s="1" t="n">
        <f aca="false">I71*$J$37</f>
        <v>163504.748927501</v>
      </c>
      <c r="K71" s="0" t="n">
        <f aca="false">M71</f>
        <v>310112.393221168</v>
      </c>
      <c r="M71" s="1" t="n">
        <f aca="false">M70*(1+$L$36)</f>
        <v>310112.393221168</v>
      </c>
      <c r="O71" s="0" t="n">
        <f aca="false">O70+1</f>
        <v>66</v>
      </c>
      <c r="P71" s="0" t="n">
        <v>2035</v>
      </c>
      <c r="Q71" s="1" t="n">
        <f aca="false">Q70+R70-S70-T70</f>
        <v>992108.069914024</v>
      </c>
      <c r="R71" s="1" t="n">
        <f aca="false">Q71*$R$35+$R$31</f>
        <v>49605.4034957012</v>
      </c>
      <c r="S71" s="1" t="n">
        <f aca="false">R71*$S$35</f>
        <v>0</v>
      </c>
      <c r="T71" s="0" t="n">
        <f aca="false">M71</f>
        <v>310112.393221168</v>
      </c>
      <c r="V71" s="0" t="n">
        <f aca="false">V70+1</f>
        <v>66</v>
      </c>
      <c r="W71" s="0" t="n">
        <v>2035</v>
      </c>
      <c r="X71" s="1" t="n">
        <f aca="false">X70+Y70-Z70-AA70</f>
        <v>67436525.0534283</v>
      </c>
      <c r="Y71" s="1" t="n">
        <f aca="false">X71*$Y$35</f>
        <v>10115478.7580142</v>
      </c>
      <c r="Z71" s="1" t="n">
        <f aca="false">Y71*$Z$35</f>
        <v>3034643.62740427</v>
      </c>
      <c r="AB71" s="0" t="n">
        <f aca="false">V71</f>
        <v>66</v>
      </c>
      <c r="AC71" s="1" t="n">
        <f aca="false">X71+Q71+H71</f>
        <v>78647679.9313111</v>
      </c>
    </row>
    <row r="72" customFormat="false" ht="15" hidden="false" customHeight="false" outlineLevel="0" collapsed="false">
      <c r="F72" s="0" t="n">
        <f aca="false">F71+1</f>
        <v>67</v>
      </c>
      <c r="G72" s="0" t="n">
        <v>2036</v>
      </c>
      <c r="H72" s="1" t="n">
        <f aca="false">H71+I71-J71-K71</f>
        <v>10562953.4104577</v>
      </c>
      <c r="I72" s="1" t="n">
        <f aca="false">H72*$I$35</f>
        <v>845036.272836613</v>
      </c>
      <c r="J72" s="1" t="n">
        <f aca="false">I72*$J$37</f>
        <v>169007.254567323</v>
      </c>
      <c r="K72" s="0" t="n">
        <f aca="false">M72</f>
        <v>322516.888950014</v>
      </c>
      <c r="M72" s="1" t="n">
        <f aca="false">M71*(1+$L$36)</f>
        <v>322516.888950014</v>
      </c>
      <c r="O72" s="0" t="n">
        <f aca="false">O71+1</f>
        <v>67</v>
      </c>
      <c r="P72" s="0" t="n">
        <v>2036</v>
      </c>
      <c r="Q72" s="1" t="n">
        <f aca="false">Q71+R71-S71-T71</f>
        <v>731601.080188558</v>
      </c>
      <c r="R72" s="1" t="n">
        <f aca="false">Q72*$R$35+$R$31</f>
        <v>36580.0540094279</v>
      </c>
      <c r="S72" s="1" t="n">
        <f aca="false">R72*$S$35</f>
        <v>0</v>
      </c>
      <c r="T72" s="0" t="n">
        <f aca="false">M72</f>
        <v>322516.888950014</v>
      </c>
      <c r="V72" s="0" t="n">
        <f aca="false">V71+1</f>
        <v>67</v>
      </c>
      <c r="W72" s="0" t="n">
        <v>2036</v>
      </c>
      <c r="X72" s="1" t="n">
        <f aca="false">X71+Y71-Z71-AA71</f>
        <v>74517360.1840382</v>
      </c>
      <c r="Y72" s="1" t="n">
        <f aca="false">X72*$Y$35</f>
        <v>11177604.0276057</v>
      </c>
      <c r="Z72" s="1" t="n">
        <f aca="false">Y72*$Z$35</f>
        <v>3353281.20828172</v>
      </c>
      <c r="AB72" s="0" t="n">
        <f aca="false">V72</f>
        <v>67</v>
      </c>
      <c r="AC72" s="1" t="n">
        <f aca="false">X72+Q72+H72</f>
        <v>85811914.6746844</v>
      </c>
    </row>
    <row r="73" customFormat="false" ht="15" hidden="false" customHeight="false" outlineLevel="0" collapsed="false">
      <c r="F73" s="0" t="n">
        <f aca="false">F72+1</f>
        <v>68</v>
      </c>
      <c r="G73" s="0" t="n">
        <v>2037</v>
      </c>
      <c r="H73" s="1" t="n">
        <f aca="false">H72+I72-J72-K72</f>
        <v>10916465.5397769</v>
      </c>
      <c r="I73" s="1" t="n">
        <f aca="false">H73*$I$35</f>
        <v>873317.243182155</v>
      </c>
      <c r="J73" s="1" t="n">
        <f aca="false">I73*$J$37</f>
        <v>174663.448636431</v>
      </c>
      <c r="K73" s="0" t="n">
        <f aca="false">M73</f>
        <v>335417.564508015</v>
      </c>
      <c r="M73" s="1" t="n">
        <f aca="false">M72*(1+$L$36)</f>
        <v>335417.564508015</v>
      </c>
      <c r="O73" s="0" t="n">
        <f aca="false">O72+1</f>
        <v>68</v>
      </c>
      <c r="P73" s="0" t="n">
        <v>2037</v>
      </c>
      <c r="Q73" s="1" t="n">
        <f aca="false">Q72+R72-S72-T72</f>
        <v>445664.245247971</v>
      </c>
      <c r="R73" s="1" t="n">
        <f aca="false">Q73*$R$35+$R$31</f>
        <v>22283.2122623986</v>
      </c>
      <c r="S73" s="1" t="n">
        <f aca="false">R73*$S$35</f>
        <v>0</v>
      </c>
      <c r="T73" s="0" t="n">
        <f aca="false">M73</f>
        <v>335417.564508015</v>
      </c>
      <c r="V73" s="0" t="n">
        <f aca="false">V72+1</f>
        <v>68</v>
      </c>
      <c r="W73" s="0" t="n">
        <v>2037</v>
      </c>
      <c r="X73" s="1" t="n">
        <f aca="false">X72+Y72-Z72-AA72</f>
        <v>82341683.0033622</v>
      </c>
      <c r="Y73" s="1" t="n">
        <f aca="false">X73*$Y$35</f>
        <v>12351252.4505043</v>
      </c>
      <c r="Z73" s="1" t="n">
        <f aca="false">Y73*$Z$35</f>
        <v>3705375.7351513</v>
      </c>
      <c r="AB73" s="0" t="n">
        <f aca="false">V73</f>
        <v>68</v>
      </c>
      <c r="AC73" s="1" t="n">
        <f aca="false">X73+Q73+H73</f>
        <v>93703812.7883871</v>
      </c>
    </row>
    <row r="74" customFormat="false" ht="15" hidden="false" customHeight="false" outlineLevel="0" collapsed="false">
      <c r="F74" s="0" t="n">
        <f aca="false">F73+1</f>
        <v>69</v>
      </c>
      <c r="G74" s="0" t="n">
        <v>2038</v>
      </c>
      <c r="H74" s="1" t="n">
        <f aca="false">H73+I73-J73-K73</f>
        <v>11279701.7698146</v>
      </c>
      <c r="I74" s="1" t="n">
        <f aca="false">H74*$I$35</f>
        <v>902376.141585171</v>
      </c>
      <c r="J74" s="1" t="n">
        <f aca="false">I74*$J$37</f>
        <v>180475.228317034</v>
      </c>
      <c r="K74" s="0" t="n">
        <f aca="false">M74</f>
        <v>348834.267088336</v>
      </c>
      <c r="M74" s="1" t="n">
        <f aca="false">M73*(1+$L$36)</f>
        <v>348834.267088336</v>
      </c>
      <c r="O74" s="0" t="n">
        <f aca="false">O73+1</f>
        <v>69</v>
      </c>
      <c r="P74" s="0" t="n">
        <v>2038</v>
      </c>
      <c r="Q74" s="1" t="n">
        <f aca="false">Q73+R73-S73-T73</f>
        <v>132529.893002355</v>
      </c>
      <c r="R74" s="1" t="n">
        <f aca="false">Q74*$R$35+$R$31</f>
        <v>6626.49465011775</v>
      </c>
      <c r="S74" s="1" t="n">
        <f aca="false">R74*$S$35</f>
        <v>0</v>
      </c>
      <c r="T74" s="0" t="n">
        <f aca="false">M74</f>
        <v>348834.267088336</v>
      </c>
      <c r="V74" s="0" t="n">
        <f aca="false">V73+1</f>
        <v>69</v>
      </c>
      <c r="W74" s="0" t="n">
        <v>2038</v>
      </c>
      <c r="X74" s="1" t="n">
        <f aca="false">X73+Y73-Z73-AA73</f>
        <v>90987559.7187153</v>
      </c>
      <c r="Y74" s="1" t="n">
        <f aca="false">X74*$Y$35</f>
        <v>13648133.9578073</v>
      </c>
      <c r="Z74" s="1" t="n">
        <f aca="false">Y74*$Z$35</f>
        <v>4094440.18734219</v>
      </c>
      <c r="AB74" s="0" t="n">
        <f aca="false">V74</f>
        <v>69</v>
      </c>
      <c r="AC74" s="1" t="n">
        <f aca="false">X74+Q74+H74</f>
        <v>102399791.381532</v>
      </c>
    </row>
    <row r="75" customFormat="false" ht="15" hidden="false" customHeight="false" outlineLevel="0" collapsed="false">
      <c r="F75" s="0" t="n">
        <f aca="false">F74+1</f>
        <v>70</v>
      </c>
      <c r="G75" s="0" t="n">
        <v>2039</v>
      </c>
      <c r="H75" s="1" t="n">
        <f aca="false">H74+I74-J74-K74</f>
        <v>11652768.4159944</v>
      </c>
      <c r="I75" s="1" t="n">
        <f aca="false">H75*$I$35</f>
        <v>932221.473279555</v>
      </c>
      <c r="J75" s="1" t="n">
        <f aca="false">I75*$J$37</f>
        <v>186444.294655911</v>
      </c>
      <c r="K75" s="0" t="n">
        <f aca="false">M75</f>
        <v>362787.637771869</v>
      </c>
      <c r="M75" s="1" t="n">
        <f aca="false">M74*(1+$L$36)</f>
        <v>362787.637771869</v>
      </c>
      <c r="O75" s="0" t="n">
        <f aca="false">O74+1</f>
        <v>70</v>
      </c>
      <c r="P75" s="0" t="n">
        <v>2039</v>
      </c>
      <c r="Q75" s="1" t="n">
        <f aca="false">Q74+R74-S74-T74</f>
        <v>-209677.879435863</v>
      </c>
      <c r="R75" s="1" t="n">
        <f aca="false">Q75*$R$35+$R$31</f>
        <v>-10483.8939717931</v>
      </c>
      <c r="S75" s="1" t="n">
        <f aca="false">R75*$S$35</f>
        <v>-0</v>
      </c>
      <c r="T75" s="0" t="n">
        <f aca="false">M75</f>
        <v>362787.637771869</v>
      </c>
      <c r="V75" s="0" t="n">
        <f aca="false">V74+1</f>
        <v>70</v>
      </c>
      <c r="W75" s="0" t="n">
        <v>2039</v>
      </c>
      <c r="X75" s="1" t="n">
        <f aca="false">X74+Y74-Z74-AA74</f>
        <v>100541253.48918</v>
      </c>
      <c r="Y75" s="1" t="n">
        <f aca="false">X75*$Y$35</f>
        <v>15081188.0233771</v>
      </c>
      <c r="Z75" s="1" t="n">
        <f aca="false">Y75*$Z$35</f>
        <v>4524356.40701312</v>
      </c>
      <c r="AB75" s="0" t="n">
        <f aca="false">V75</f>
        <v>70</v>
      </c>
      <c r="AC75" s="1" t="n">
        <f aca="false">X75+Q75+H75</f>
        <v>111984344.025739</v>
      </c>
    </row>
    <row r="76" customFormat="false" ht="15" hidden="false" customHeight="false" outlineLevel="0" collapsed="false">
      <c r="F76" s="0" t="n">
        <f aca="false">F75+1</f>
        <v>71</v>
      </c>
      <c r="G76" s="0" t="n">
        <v>2040</v>
      </c>
      <c r="H76" s="1" t="n">
        <f aca="false">H75+I75-J75-K75</f>
        <v>12035757.9568462</v>
      </c>
      <c r="I76" s="1" t="n">
        <f aca="false">H76*$I$35</f>
        <v>962860.636547697</v>
      </c>
      <c r="J76" s="1" t="n">
        <f aca="false">I76*$J$37</f>
        <v>192572.127309539</v>
      </c>
      <c r="K76" s="0" t="n">
        <f aca="false">M76</f>
        <v>377299.143282744</v>
      </c>
      <c r="M76" s="1" t="n">
        <f aca="false">M75*(1+$L$36)</f>
        <v>377299.143282744</v>
      </c>
      <c r="O76" s="0" t="n">
        <f aca="false">O75+1</f>
        <v>71</v>
      </c>
      <c r="P76" s="0" t="n">
        <v>2040</v>
      </c>
      <c r="Q76" s="1" t="n">
        <f aca="false">Q75+R75-S75-T75</f>
        <v>-582949.411179525</v>
      </c>
      <c r="R76" s="1" t="n">
        <f aca="false">Q76*$R$35+$R$31</f>
        <v>-29147.4705589763</v>
      </c>
      <c r="S76" s="1" t="n">
        <f aca="false">R76*$S$35</f>
        <v>-0</v>
      </c>
      <c r="T76" s="0" t="n">
        <f aca="false">M76</f>
        <v>377299.143282744</v>
      </c>
      <c r="V76" s="0" t="n">
        <f aca="false">V75+1</f>
        <v>71</v>
      </c>
      <c r="W76" s="0" t="n">
        <v>2040</v>
      </c>
      <c r="X76" s="1" t="n">
        <f aca="false">X75+Y75-Z75-AA75</f>
        <v>111098085.105544</v>
      </c>
      <c r="Y76" s="1" t="n">
        <f aca="false">X76*$Y$35</f>
        <v>16664712.7658316</v>
      </c>
      <c r="Z76" s="1" t="n">
        <f aca="false">Y76*$Z$35</f>
        <v>4999413.82974949</v>
      </c>
      <c r="AB76" s="0" t="n">
        <f aca="false">V76</f>
        <v>71</v>
      </c>
      <c r="AC76" s="1" t="n">
        <f aca="false">X76+Q76+H76</f>
        <v>122550893.651211</v>
      </c>
    </row>
    <row r="77" customFormat="false" ht="15" hidden="false" customHeight="false" outlineLevel="0" collapsed="false">
      <c r="F77" s="0" t="n">
        <f aca="false">F76+1</f>
        <v>72</v>
      </c>
      <c r="G77" s="0" t="n">
        <v>2041</v>
      </c>
      <c r="H77" s="1" t="n">
        <f aca="false">H76+I76-J76-K76</f>
        <v>12428747.3228016</v>
      </c>
      <c r="I77" s="1" t="n">
        <f aca="false">H77*$I$35</f>
        <v>994299.785824131</v>
      </c>
      <c r="J77" s="1" t="n">
        <f aca="false">I77*$J$37</f>
        <v>198859.957164826</v>
      </c>
      <c r="K77" s="0" t="n">
        <f aca="false">M77</f>
        <v>392391.109014054</v>
      </c>
      <c r="M77" s="1" t="n">
        <f aca="false">M76*(1+$L$36)</f>
        <v>392391.109014054</v>
      </c>
      <c r="O77" s="0" t="n">
        <f aca="false">O76+1</f>
        <v>72</v>
      </c>
      <c r="P77" s="0" t="n">
        <v>2041</v>
      </c>
      <c r="Q77" s="1" t="n">
        <f aca="false">Q76+R76-S76-T76</f>
        <v>-989396.025021245</v>
      </c>
      <c r="R77" s="1" t="n">
        <f aca="false">Q77*$R$35+$R$31</f>
        <v>-49469.8012510623</v>
      </c>
      <c r="S77" s="1" t="n">
        <f aca="false">R77*$S$35</f>
        <v>-0</v>
      </c>
      <c r="T77" s="0" t="n">
        <f aca="false">M77</f>
        <v>392391.109014054</v>
      </c>
      <c r="V77" s="0" t="n">
        <f aca="false">V76+1</f>
        <v>72</v>
      </c>
      <c r="W77" s="0" t="n">
        <v>2041</v>
      </c>
      <c r="X77" s="1" t="n">
        <f aca="false">X76+Y76-Z76-AA76</f>
        <v>122763384.041626</v>
      </c>
      <c r="Y77" s="1" t="n">
        <f aca="false">X77*$Y$35</f>
        <v>18414507.606244</v>
      </c>
      <c r="Z77" s="1" t="n">
        <f aca="false">Y77*$Z$35</f>
        <v>5524352.28187319</v>
      </c>
      <c r="AB77" s="0" t="n">
        <f aca="false">V77</f>
        <v>72</v>
      </c>
      <c r="AC77" s="1" t="n">
        <f aca="false">X77+Q77+H77</f>
        <v>134202735.339407</v>
      </c>
    </row>
    <row r="78" customFormat="false" ht="15" hidden="false" customHeight="false" outlineLevel="0" collapsed="false">
      <c r="F78" s="0" t="n">
        <f aca="false">F77+1</f>
        <v>73</v>
      </c>
      <c r="G78" s="0" t="n">
        <v>2042</v>
      </c>
      <c r="H78" s="1" t="n">
        <f aca="false">H77+I77-J77-K77</f>
        <v>12831796.0424469</v>
      </c>
      <c r="I78" s="1" t="n">
        <f aca="false">H78*$I$35</f>
        <v>1026543.68339575</v>
      </c>
      <c r="J78" s="1" t="n">
        <f aca="false">I78*$J$37</f>
        <v>205308.73667915</v>
      </c>
      <c r="K78" s="0" t="n">
        <f aca="false">M78</f>
        <v>408086.753374616</v>
      </c>
      <c r="M78" s="1" t="n">
        <f aca="false">M77*(1+$L$36)</f>
        <v>408086.753374616</v>
      </c>
      <c r="O78" s="0" t="n">
        <f aca="false">O77+1</f>
        <v>73</v>
      </c>
      <c r="P78" s="0" t="n">
        <v>2042</v>
      </c>
      <c r="Q78" s="1" t="n">
        <f aca="false">Q77+R77-S77-T77</f>
        <v>-1431256.93528636</v>
      </c>
      <c r="R78" s="1" t="n">
        <f aca="false">Q78*$R$35+$R$31</f>
        <v>-71562.8467643181</v>
      </c>
      <c r="S78" s="1" t="n">
        <f aca="false">R78*$S$35</f>
        <v>-0</v>
      </c>
      <c r="T78" s="0" t="n">
        <f aca="false">M78</f>
        <v>408086.753374616</v>
      </c>
      <c r="V78" s="0" t="n">
        <f aca="false">V77+1</f>
        <v>73</v>
      </c>
      <c r="W78" s="0" t="n">
        <v>2042</v>
      </c>
      <c r="X78" s="1" t="n">
        <f aca="false">X77+Y77-Z77-AA77</f>
        <v>135653539.365997</v>
      </c>
      <c r="Y78" s="1" t="n">
        <f aca="false">X78*$Y$35</f>
        <v>20348030.9048996</v>
      </c>
      <c r="Z78" s="1" t="n">
        <f aca="false">Y78*$Z$35</f>
        <v>6104409.27146987</v>
      </c>
      <c r="AB78" s="0" t="n">
        <f aca="false">V78</f>
        <v>73</v>
      </c>
      <c r="AC78" s="1" t="n">
        <f aca="false">X78+Q78+H78</f>
        <v>147054078.473158</v>
      </c>
    </row>
    <row r="79" customFormat="false" ht="15" hidden="false" customHeight="false" outlineLevel="0" collapsed="false">
      <c r="F79" s="0" t="n">
        <f aca="false">F78+1</f>
        <v>74</v>
      </c>
      <c r="G79" s="0" t="n">
        <v>2043</v>
      </c>
      <c r="H79" s="1" t="n">
        <f aca="false">H78+I78-J78-K78</f>
        <v>13244944.2357889</v>
      </c>
      <c r="I79" s="1" t="n">
        <f aca="false">H79*$I$35</f>
        <v>1059595.53886311</v>
      </c>
      <c r="J79" s="1" t="n">
        <f aca="false">I79*$J$37</f>
        <v>211919.107772622</v>
      </c>
      <c r="K79" s="0" t="n">
        <f aca="false">M79</f>
        <v>424410.2235096</v>
      </c>
      <c r="M79" s="1" t="n">
        <f aca="false">M78*(1+$L$36)</f>
        <v>424410.2235096</v>
      </c>
      <c r="O79" s="0" t="n">
        <f aca="false">O78+1</f>
        <v>74</v>
      </c>
      <c r="P79" s="0" t="n">
        <v>2043</v>
      </c>
      <c r="Q79" s="1" t="n">
        <f aca="false">Q78+R78-S78-T78</f>
        <v>-1910906.53542529</v>
      </c>
      <c r="R79" s="1" t="n">
        <f aca="false">Q79*$R$35+$R$31</f>
        <v>-95545.3267712647</v>
      </c>
      <c r="S79" s="1" t="n">
        <f aca="false">R79*$S$35</f>
        <v>-0</v>
      </c>
      <c r="T79" s="0" t="n">
        <f aca="false">M79</f>
        <v>424410.2235096</v>
      </c>
      <c r="V79" s="0" t="n">
        <f aca="false">V78+1</f>
        <v>74</v>
      </c>
      <c r="W79" s="0" t="n">
        <v>2043</v>
      </c>
      <c r="X79" s="1" t="n">
        <f aca="false">X78+Y78-Z78-AA78</f>
        <v>149897160.999427</v>
      </c>
      <c r="Y79" s="1" t="n">
        <f aca="false">X79*$Y$35</f>
        <v>22484574.149914</v>
      </c>
      <c r="Z79" s="1" t="n">
        <f aca="false">Y79*$Z$35</f>
        <v>6745372.24497421</v>
      </c>
      <c r="AB79" s="0" t="n">
        <f aca="false">V79</f>
        <v>74</v>
      </c>
      <c r="AC79" s="1" t="n">
        <f aca="false">X79+Q79+H79</f>
        <v>161231198.699791</v>
      </c>
    </row>
    <row r="80" customFormat="false" ht="15" hidden="false" customHeight="false" outlineLevel="0" collapsed="false">
      <c r="F80" s="0" t="n">
        <f aca="false">F79+1</f>
        <v>75</v>
      </c>
      <c r="G80" s="0" t="n">
        <v>2044</v>
      </c>
      <c r="H80" s="1" t="n">
        <f aca="false">H79+I79-J79-K79</f>
        <v>13668210.4433698</v>
      </c>
      <c r="I80" s="1" t="n">
        <f aca="false">H80*$I$35</f>
        <v>1093456.83546958</v>
      </c>
      <c r="J80" s="1" t="n">
        <f aca="false">I80*$J$37</f>
        <v>218691.367093916</v>
      </c>
      <c r="K80" s="0" t="n">
        <f aca="false">M80</f>
        <v>441386.632449984</v>
      </c>
      <c r="M80" s="1" t="n">
        <f aca="false">M79*(1+$L$36)</f>
        <v>441386.632449984</v>
      </c>
      <c r="O80" s="0" t="n">
        <f aca="false">O79+1</f>
        <v>75</v>
      </c>
      <c r="P80" s="0" t="n">
        <v>2044</v>
      </c>
      <c r="Q80" s="1" t="n">
        <f aca="false">Q79+R79-S79-T79</f>
        <v>-2430862.08570616</v>
      </c>
      <c r="R80" s="1" t="n">
        <f aca="false">Q80*$R$35+$R$31</f>
        <v>-121543.104285308</v>
      </c>
      <c r="S80" s="1" t="n">
        <f aca="false">R80*$S$35</f>
        <v>-0</v>
      </c>
      <c r="T80" s="0" t="n">
        <f aca="false">M80</f>
        <v>441386.632449984</v>
      </c>
      <c r="V80" s="0" t="n">
        <f aca="false">V79+1</f>
        <v>75</v>
      </c>
      <c r="W80" s="0" t="n">
        <v>2044</v>
      </c>
      <c r="X80" s="1" t="n">
        <f aca="false">X79+Y79-Z79-AA79</f>
        <v>165636362.904367</v>
      </c>
      <c r="Y80" s="1" t="n">
        <f aca="false">X80*$Y$35</f>
        <v>24845454.435655</v>
      </c>
      <c r="Z80" s="1" t="n">
        <f aca="false">Y80*$Z$35</f>
        <v>7453636.3306965</v>
      </c>
      <c r="AB80" s="0" t="n">
        <f aca="false">V80</f>
        <v>75</v>
      </c>
      <c r="AC80" s="1" t="n">
        <f aca="false">X80+Q80+H80</f>
        <v>176873711.26203</v>
      </c>
    </row>
    <row r="81" customFormat="false" ht="15" hidden="false" customHeight="false" outlineLevel="0" collapsed="false">
      <c r="F81" s="0" t="n">
        <f aca="false">F80+1</f>
        <v>76</v>
      </c>
      <c r="G81" s="0" t="n">
        <v>2045</v>
      </c>
      <c r="H81" s="1" t="n">
        <f aca="false">H80+I80-J80-K80</f>
        <v>14101589.2792954</v>
      </c>
      <c r="I81" s="1" t="n">
        <f aca="false">H81*$I$35</f>
        <v>1128127.14234363</v>
      </c>
      <c r="J81" s="1" t="n">
        <f aca="false">I81*$J$37</f>
        <v>225625.428468727</v>
      </c>
      <c r="K81" s="0" t="n">
        <f aca="false">M81</f>
        <v>459042.097747984</v>
      </c>
      <c r="M81" s="1" t="n">
        <f aca="false">M80*(1+$L$36)</f>
        <v>459042.097747984</v>
      </c>
      <c r="O81" s="0" t="n">
        <f aca="false">O80+1</f>
        <v>76</v>
      </c>
      <c r="P81" s="0" t="n">
        <v>2045</v>
      </c>
      <c r="Q81" s="1" t="n">
        <f aca="false">Q80+R80-S80-T80</f>
        <v>-2993791.82244145</v>
      </c>
      <c r="R81" s="1" t="n">
        <f aca="false">Q81*$R$35+$R$31</f>
        <v>-149689.591122073</v>
      </c>
      <c r="S81" s="1" t="n">
        <f aca="false">R81*$S$35</f>
        <v>-0</v>
      </c>
      <c r="T81" s="0" t="n">
        <f aca="false">M81</f>
        <v>459042.097747984</v>
      </c>
      <c r="V81" s="0" t="n">
        <f aca="false">V80+1</f>
        <v>76</v>
      </c>
      <c r="W81" s="0" t="n">
        <v>2045</v>
      </c>
      <c r="X81" s="1" t="n">
        <f aca="false">X80+Y80-Z80-AA80</f>
        <v>183028181.009325</v>
      </c>
      <c r="Y81" s="1" t="n">
        <f aca="false">X81*$Y$35</f>
        <v>27454227.1513988</v>
      </c>
      <c r="Z81" s="1" t="n">
        <f aca="false">Y81*$Z$35</f>
        <v>8236268.14541964</v>
      </c>
      <c r="AB81" s="0" t="n">
        <f aca="false">V81</f>
        <v>76</v>
      </c>
      <c r="AC81" s="1" t="n">
        <f aca="false">X81+Q81+H81</f>
        <v>194135978.466179</v>
      </c>
    </row>
    <row r="82" customFormat="false" ht="15" hidden="false" customHeight="false" outlineLevel="0" collapsed="false">
      <c r="F82" s="0" t="n">
        <f aca="false">F81+1</f>
        <v>77</v>
      </c>
      <c r="G82" s="0" t="n">
        <v>2046</v>
      </c>
      <c r="H82" s="1" t="n">
        <f aca="false">H81+I81-J81-K81</f>
        <v>14545048.8954224</v>
      </c>
      <c r="I82" s="1" t="n">
        <f aca="false">H82*$I$35</f>
        <v>1163603.91163379</v>
      </c>
      <c r="J82" s="1" t="n">
        <f aca="false">I82*$J$37</f>
        <v>232720.782326758</v>
      </c>
      <c r="K82" s="0" t="n">
        <f aca="false">M82</f>
        <v>477403.781657903</v>
      </c>
      <c r="M82" s="1" t="n">
        <f aca="false">M81*(1+$L$36)</f>
        <v>477403.781657903</v>
      </c>
      <c r="O82" s="0" t="n">
        <f aca="false">O81+1</f>
        <v>77</v>
      </c>
      <c r="P82" s="0" t="n">
        <v>2046</v>
      </c>
      <c r="Q82" s="1" t="n">
        <f aca="false">Q81+R81-S81-T81</f>
        <v>-3602523.51131151</v>
      </c>
      <c r="R82" s="1" t="n">
        <f aca="false">Q82*$R$35+$R$31</f>
        <v>-180126.175565575</v>
      </c>
      <c r="S82" s="1" t="n">
        <f aca="false">R82*$S$35</f>
        <v>-0</v>
      </c>
      <c r="T82" s="0" t="n">
        <f aca="false">M82</f>
        <v>477403.781657903</v>
      </c>
      <c r="V82" s="0" t="n">
        <f aca="false">V81+1</f>
        <v>77</v>
      </c>
      <c r="W82" s="0" t="n">
        <v>2046</v>
      </c>
      <c r="X82" s="1" t="n">
        <f aca="false">X81+Y81-Z81-AA81</f>
        <v>202246140.015304</v>
      </c>
      <c r="Y82" s="1" t="n">
        <f aca="false">X82*$Y$35</f>
        <v>30336921.0022957</v>
      </c>
      <c r="Z82" s="1" t="n">
        <f aca="false">Y82*$Z$35</f>
        <v>9101076.3006887</v>
      </c>
      <c r="AB82" s="0" t="n">
        <f aca="false">V82</f>
        <v>77</v>
      </c>
      <c r="AC82" s="1" t="n">
        <f aca="false">X82+Q82+H82</f>
        <v>213188665.399415</v>
      </c>
    </row>
    <row r="83" customFormat="false" ht="15" hidden="false" customHeight="false" outlineLevel="0" collapsed="false">
      <c r="F83" s="0" t="n">
        <f aca="false">F82+1</f>
        <v>78</v>
      </c>
      <c r="G83" s="0" t="n">
        <v>2047</v>
      </c>
      <c r="H83" s="1" t="n">
        <f aca="false">H82+I82-J82-K82</f>
        <v>14998528.2430715</v>
      </c>
      <c r="I83" s="1" t="n">
        <f aca="false">H83*$I$35</f>
        <v>1199882.25944572</v>
      </c>
      <c r="J83" s="1" t="n">
        <f aca="false">I83*$J$37</f>
        <v>239976.451889144</v>
      </c>
      <c r="K83" s="0" t="n">
        <f aca="false">M83</f>
        <v>496499.932924219</v>
      </c>
      <c r="M83" s="1" t="n">
        <f aca="false">M82*(1+$L$36)</f>
        <v>496499.932924219</v>
      </c>
      <c r="O83" s="0" t="n">
        <f aca="false">O82+1</f>
        <v>78</v>
      </c>
      <c r="P83" s="0" t="n">
        <v>2047</v>
      </c>
      <c r="Q83" s="1" t="n">
        <f aca="false">Q82+R82-S82-T82</f>
        <v>-4260053.46853499</v>
      </c>
      <c r="R83" s="1" t="n">
        <f aca="false">Q83*$R$35+$R$31</f>
        <v>-213002.673426749</v>
      </c>
      <c r="S83" s="1" t="n">
        <f aca="false">R83*$S$35</f>
        <v>-0</v>
      </c>
      <c r="T83" s="0" t="n">
        <f aca="false">M83</f>
        <v>496499.932924219</v>
      </c>
      <c r="V83" s="0" t="n">
        <f aca="false">V82+1</f>
        <v>78</v>
      </c>
      <c r="W83" s="0" t="n">
        <v>2047</v>
      </c>
      <c r="X83" s="1" t="n">
        <f aca="false">X82+Y82-Z82-AA82</f>
        <v>223481984.716911</v>
      </c>
      <c r="Y83" s="1" t="n">
        <f aca="false">X83*$Y$35</f>
        <v>33522297.7075367</v>
      </c>
      <c r="Z83" s="1" t="n">
        <f aca="false">Y83*$Z$35</f>
        <v>10056689.312261</v>
      </c>
      <c r="AB83" s="0" t="n">
        <f aca="false">V83</f>
        <v>78</v>
      </c>
      <c r="AC83" s="1" t="n">
        <f aca="false">X83+Q83+H83</f>
        <v>234220459.491448</v>
      </c>
    </row>
    <row r="84" customFormat="false" ht="15" hidden="false" customHeight="false" outlineLevel="0" collapsed="false">
      <c r="F84" s="0" t="n">
        <f aca="false">F83+1</f>
        <v>79</v>
      </c>
      <c r="G84" s="0" t="n">
        <v>2048</v>
      </c>
      <c r="H84" s="1" t="n">
        <f aca="false">H83+I83-J83-K83</f>
        <v>15461934.1177038</v>
      </c>
      <c r="I84" s="1" t="n">
        <f aca="false">H84*$I$35</f>
        <v>1236954.72941631</v>
      </c>
      <c r="J84" s="1" t="n">
        <f aca="false">I84*$J$37</f>
        <v>247390.945883262</v>
      </c>
      <c r="K84" s="0" t="n">
        <f aca="false">M84</f>
        <v>516359.930241188</v>
      </c>
      <c r="M84" s="1" t="n">
        <f aca="false">M83*(1+$L$36)</f>
        <v>516359.930241188</v>
      </c>
      <c r="O84" s="0" t="n">
        <f aca="false">O83+1</f>
        <v>79</v>
      </c>
      <c r="P84" s="0" t="n">
        <v>2048</v>
      </c>
      <c r="Q84" s="1" t="n">
        <f aca="false">Q83+R83-S83-T83</f>
        <v>-4969556.07488596</v>
      </c>
      <c r="R84" s="1" t="n">
        <f aca="false">Q84*$R$35+$R$31</f>
        <v>-248477.803744298</v>
      </c>
      <c r="S84" s="1" t="n">
        <f aca="false">R84*$S$35</f>
        <v>-0</v>
      </c>
      <c r="T84" s="0" t="n">
        <f aca="false">M84</f>
        <v>516359.930241188</v>
      </c>
      <c r="V84" s="0" t="n">
        <f aca="false">V83+1</f>
        <v>79</v>
      </c>
      <c r="W84" s="0" t="n">
        <v>2048</v>
      </c>
      <c r="X84" s="1" t="n">
        <f aca="false">X83+Y83-Z83-AA83</f>
        <v>246947593.112187</v>
      </c>
      <c r="Y84" s="1" t="n">
        <f aca="false">X84*$Y$35</f>
        <v>37042138.9668281</v>
      </c>
      <c r="Z84" s="1" t="n">
        <f aca="false">Y84*$Z$35</f>
        <v>11112641.6900484</v>
      </c>
      <c r="AB84" s="0" t="n">
        <f aca="false">V84</f>
        <v>79</v>
      </c>
      <c r="AC84" s="1" t="n">
        <f aca="false">X84+Q84+H84</f>
        <v>257439971.155005</v>
      </c>
    </row>
    <row r="85" customFormat="false" ht="15" hidden="false" customHeight="false" outlineLevel="0" collapsed="false">
      <c r="F85" s="0" t="n">
        <f aca="false">F84+1</f>
        <v>80</v>
      </c>
      <c r="G85" s="0" t="n">
        <v>2049</v>
      </c>
      <c r="H85" s="1" t="n">
        <f aca="false">H84+I84-J84-K84</f>
        <v>15935137.9709957</v>
      </c>
      <c r="I85" s="1" t="n">
        <f aca="false">H85*$I$35</f>
        <v>1274811.03767966</v>
      </c>
      <c r="J85" s="1" t="n">
        <f aca="false">I85*$J$37</f>
        <v>254962.207535931</v>
      </c>
      <c r="K85" s="0" t="n">
        <f aca="false">M85</f>
        <v>537014.327450836</v>
      </c>
      <c r="M85" s="1" t="n">
        <f aca="false">M84*(1+$L$36)</f>
        <v>537014.327450836</v>
      </c>
      <c r="O85" s="0" t="n">
        <f aca="false">O84+1</f>
        <v>80</v>
      </c>
      <c r="P85" s="0" t="n">
        <v>2049</v>
      </c>
      <c r="Q85" s="1" t="n">
        <f aca="false">Q84+R84-S84-T84</f>
        <v>-5734393.80887144</v>
      </c>
      <c r="R85" s="1" t="n">
        <f aca="false">Q85*$R$35+$R$31</f>
        <v>-286719.690443572</v>
      </c>
      <c r="S85" s="1" t="n">
        <f aca="false">R85*$S$35</f>
        <v>-0</v>
      </c>
      <c r="T85" s="0" t="n">
        <f aca="false">M85</f>
        <v>537014.327450836</v>
      </c>
      <c r="V85" s="0" t="n">
        <f aca="false">V84+1</f>
        <v>80</v>
      </c>
      <c r="W85" s="0" t="n">
        <v>2049</v>
      </c>
      <c r="X85" s="1" t="n">
        <f aca="false">X84+Y84-Z84-AA84</f>
        <v>272877090.388967</v>
      </c>
      <c r="Y85" s="1" t="n">
        <f aca="false">X85*$Y$35</f>
        <v>40931563.558345</v>
      </c>
      <c r="Z85" s="1" t="n">
        <f aca="false">Y85*$Z$35</f>
        <v>12279469.0675035</v>
      </c>
      <c r="AB85" s="0" t="n">
        <f aca="false">V85</f>
        <v>80</v>
      </c>
      <c r="AC85" s="1" t="n">
        <f aca="false">X85+Q85+H85</f>
        <v>283077834.551091</v>
      </c>
    </row>
    <row r="86" customFormat="false" ht="15" hidden="false" customHeight="false" outlineLevel="0" collapsed="false">
      <c r="F86" s="0" t="n">
        <f aca="false">F85+1</f>
        <v>81</v>
      </c>
      <c r="G86" s="0" t="n">
        <v>2050</v>
      </c>
      <c r="H86" s="1" t="n">
        <f aca="false">H85+I85-J85-K85</f>
        <v>16417972.4736886</v>
      </c>
      <c r="I86" s="1" t="n">
        <f aca="false">H86*$I$35</f>
        <v>1313437.79789509</v>
      </c>
      <c r="J86" s="1" t="n">
        <f aca="false">I86*$J$37</f>
        <v>262687.559579018</v>
      </c>
      <c r="K86" s="0" t="n">
        <f aca="false">M86</f>
        <v>558494.900548869</v>
      </c>
      <c r="M86" s="1" t="n">
        <f aca="false">M85*(1+$L$36)</f>
        <v>558494.900548869</v>
      </c>
      <c r="O86" s="0" t="n">
        <f aca="false">O85+1</f>
        <v>81</v>
      </c>
      <c r="P86" s="0" t="n">
        <v>2050</v>
      </c>
      <c r="Q86" s="1" t="n">
        <f aca="false">Q85+R85-S85-T85</f>
        <v>-6558127.82676585</v>
      </c>
      <c r="R86" s="1" t="n">
        <f aca="false">Q86*$R$35+$R$31</f>
        <v>-327906.391338292</v>
      </c>
      <c r="S86" s="1" t="n">
        <f aca="false">R86*$S$35</f>
        <v>-0</v>
      </c>
      <c r="T86" s="0" t="n">
        <f aca="false">M86</f>
        <v>558494.900548869</v>
      </c>
      <c r="V86" s="0" t="n">
        <f aca="false">V85+1</f>
        <v>81</v>
      </c>
      <c r="W86" s="0" t="n">
        <v>2050</v>
      </c>
      <c r="X86" s="1" t="n">
        <f aca="false">X85+Y85-Z85-AA85</f>
        <v>301529184.879808</v>
      </c>
      <c r="Y86" s="1" t="n">
        <f aca="false">X86*$Y$35</f>
        <v>45229377.7319712</v>
      </c>
      <c r="Z86" s="1" t="n">
        <f aca="false">Y86*$Z$35</f>
        <v>13568813.3195914</v>
      </c>
      <c r="AB86" s="0" t="n">
        <f aca="false">V86</f>
        <v>81</v>
      </c>
      <c r="AC86" s="1" t="n">
        <f aca="false">X86+Q86+H86</f>
        <v>311389029.526731</v>
      </c>
    </row>
    <row r="87" customFormat="false" ht="15" hidden="false" customHeight="false" outlineLevel="0" collapsed="false">
      <c r="F87" s="0" t="n">
        <f aca="false">F86+1</f>
        <v>82</v>
      </c>
      <c r="G87" s="0" t="n">
        <v>2051</v>
      </c>
      <c r="H87" s="1" t="n">
        <f aca="false">H86+I86-J86-K86</f>
        <v>16910227.8114558</v>
      </c>
      <c r="I87" s="1" t="n">
        <f aca="false">H87*$I$35</f>
        <v>1352818.22491646</v>
      </c>
      <c r="J87" s="1" t="n">
        <f aca="false">I87*$J$37</f>
        <v>270563.644983293</v>
      </c>
      <c r="K87" s="0" t="n">
        <f aca="false">M87</f>
        <v>580834.696570824</v>
      </c>
      <c r="M87" s="1" t="n">
        <f aca="false">M86*(1+$L$36)</f>
        <v>580834.696570824</v>
      </c>
      <c r="O87" s="0" t="n">
        <f aca="false">O86+1</f>
        <v>82</v>
      </c>
      <c r="P87" s="0" t="n">
        <v>2051</v>
      </c>
      <c r="Q87" s="1" t="n">
        <f aca="false">Q86+R86-S86-T86</f>
        <v>-7444529.11865301</v>
      </c>
      <c r="R87" s="1" t="n">
        <f aca="false">Q87*$R$35+$R$31</f>
        <v>-372226.455932651</v>
      </c>
      <c r="S87" s="1" t="n">
        <f aca="false">R87*$S$35</f>
        <v>-0</v>
      </c>
      <c r="T87" s="0" t="n">
        <f aca="false">M87</f>
        <v>580834.696570824</v>
      </c>
      <c r="V87" s="0" t="n">
        <f aca="false">V86+1</f>
        <v>82</v>
      </c>
      <c r="W87" s="0" t="n">
        <v>2051</v>
      </c>
      <c r="X87" s="1" t="n">
        <f aca="false">X86+Y86-Z86-AA86</f>
        <v>333189749.292188</v>
      </c>
      <c r="Y87" s="1" t="n">
        <f aca="false">X87*$Y$35</f>
        <v>49978462.3938282</v>
      </c>
      <c r="Z87" s="1" t="n">
        <f aca="false">Y87*$Z$35</f>
        <v>14993538.7181485</v>
      </c>
      <c r="AB87" s="0" t="n">
        <f aca="false">V87</f>
        <v>82</v>
      </c>
      <c r="AC87" s="1" t="n">
        <f aca="false">X87+Q87+H87</f>
        <v>342655447.984991</v>
      </c>
    </row>
    <row r="88" customFormat="false" ht="15" hidden="false" customHeight="false" outlineLevel="0" collapsed="false">
      <c r="F88" s="0" t="n">
        <f aca="false">F87+1</f>
        <v>83</v>
      </c>
      <c r="G88" s="0" t="n">
        <v>2052</v>
      </c>
      <c r="H88" s="1" t="n">
        <f aca="false">H87+I87-J87-K87</f>
        <v>17411647.6948181</v>
      </c>
      <c r="I88" s="1" t="n">
        <f aca="false">H88*$I$35</f>
        <v>1392931.81558545</v>
      </c>
      <c r="J88" s="1" t="n">
        <f aca="false">I88*$J$37</f>
        <v>278586.36311709</v>
      </c>
      <c r="K88" s="0" t="n">
        <f aca="false">M88</f>
        <v>604068.084433657</v>
      </c>
      <c r="M88" s="1" t="n">
        <f aca="false">M87*(1+$L$36)</f>
        <v>604068.084433657</v>
      </c>
      <c r="O88" s="0" t="n">
        <f aca="false">O87+1</f>
        <v>83</v>
      </c>
      <c r="P88" s="0" t="n">
        <v>2052</v>
      </c>
      <c r="Q88" s="1" t="n">
        <f aca="false">Q87+R87-S87-T87</f>
        <v>-8397590.27115648</v>
      </c>
      <c r="R88" s="1" t="n">
        <f aca="false">Q88*$R$35+$R$31</f>
        <v>-419879.513557824</v>
      </c>
      <c r="S88" s="1" t="n">
        <f aca="false">R88*$S$35</f>
        <v>-0</v>
      </c>
      <c r="T88" s="0" t="n">
        <f aca="false">M88</f>
        <v>604068.084433657</v>
      </c>
      <c r="V88" s="0" t="n">
        <f aca="false">V87+1</f>
        <v>83</v>
      </c>
      <c r="W88" s="0" t="n">
        <v>2052</v>
      </c>
      <c r="X88" s="1" t="n">
        <f aca="false">X87+Y87-Z87-AA87</f>
        <v>368174672.967868</v>
      </c>
      <c r="Y88" s="1" t="n">
        <f aca="false">X88*$Y$35</f>
        <v>55226200.9451802</v>
      </c>
      <c r="Z88" s="1" t="n">
        <f aca="false">Y88*$Z$35</f>
        <v>16567860.2835541</v>
      </c>
      <c r="AB88" s="0" t="n">
        <f aca="false">V88</f>
        <v>83</v>
      </c>
      <c r="AC88" s="1" t="n">
        <f aca="false">X88+Q88+H88</f>
        <v>377188730.39153</v>
      </c>
    </row>
    <row r="89" customFormat="false" ht="15" hidden="false" customHeight="false" outlineLevel="0" collapsed="false">
      <c r="F89" s="0" t="n">
        <f aca="false">F88+1</f>
        <v>84</v>
      </c>
      <c r="G89" s="0" t="n">
        <v>2053</v>
      </c>
      <c r="H89" s="1" t="n">
        <f aca="false">H88+I88-J88-K88</f>
        <v>17921925.0628528</v>
      </c>
      <c r="I89" s="1" t="n">
        <f aca="false">H89*$I$35</f>
        <v>1433754.00502823</v>
      </c>
      <c r="J89" s="1" t="n">
        <f aca="false">I89*$J$37</f>
        <v>286750.801005646</v>
      </c>
      <c r="K89" s="0" t="n">
        <f aca="false">M89</f>
        <v>628230.807811003</v>
      </c>
      <c r="M89" s="1" t="n">
        <f aca="false">M88*(1+$L$36)</f>
        <v>628230.807811003</v>
      </c>
      <c r="O89" s="0" t="n">
        <f aca="false">O88+1</f>
        <v>84</v>
      </c>
      <c r="P89" s="0" t="n">
        <v>2053</v>
      </c>
      <c r="Q89" s="1" t="n">
        <f aca="false">Q88+R88-S88-T88</f>
        <v>-9421537.86914796</v>
      </c>
      <c r="R89" s="1" t="n">
        <f aca="false">Q89*$R$35+$R$31</f>
        <v>-471076.893457398</v>
      </c>
      <c r="S89" s="1" t="n">
        <f aca="false">R89*$S$35</f>
        <v>-0</v>
      </c>
      <c r="T89" s="0" t="n">
        <f aca="false">M89</f>
        <v>628230.807811003</v>
      </c>
      <c r="V89" s="0" t="n">
        <f aca="false">V88+1</f>
        <v>84</v>
      </c>
      <c r="W89" s="0" t="n">
        <v>2053</v>
      </c>
      <c r="X89" s="1" t="n">
        <f aca="false">X88+Y88-Z88-AA88</f>
        <v>406833013.629494</v>
      </c>
      <c r="Y89" s="1" t="n">
        <f aca="false">X89*$Y$35</f>
        <v>61024952.0444241</v>
      </c>
      <c r="Z89" s="1" t="n">
        <f aca="false">Y89*$Z$35</f>
        <v>18307485.6133272</v>
      </c>
      <c r="AB89" s="0" t="n">
        <f aca="false">V89</f>
        <v>84</v>
      </c>
      <c r="AC89" s="1" t="n">
        <f aca="false">X89+Q89+H89</f>
        <v>415333400.823199</v>
      </c>
    </row>
    <row r="90" customFormat="false" ht="15" hidden="false" customHeight="false" outlineLevel="0" collapsed="false">
      <c r="F90" s="0" t="n">
        <f aca="false">F89+1</f>
        <v>85</v>
      </c>
      <c r="G90" s="0" t="n">
        <v>2054</v>
      </c>
      <c r="H90" s="1" t="n">
        <f aca="false">H89+I89-J89-K89</f>
        <v>18440697.4590644</v>
      </c>
      <c r="I90" s="1" t="n">
        <f aca="false">H90*$I$35</f>
        <v>1475255.79672515</v>
      </c>
      <c r="J90" s="1" t="n">
        <f aca="false">I90*$J$37</f>
        <v>295051.159345031</v>
      </c>
      <c r="K90" s="0" t="n">
        <f aca="false">M90</f>
        <v>653360.040123443</v>
      </c>
      <c r="M90" s="1" t="n">
        <f aca="false">M89*(1+$L$36)</f>
        <v>653360.040123443</v>
      </c>
      <c r="O90" s="0" t="n">
        <f aca="false">O89+1</f>
        <v>85</v>
      </c>
      <c r="P90" s="0" t="n">
        <v>2054</v>
      </c>
      <c r="Q90" s="1" t="n">
        <f aca="false">Q89+R89-S89-T89</f>
        <v>-10520845.5704164</v>
      </c>
      <c r="R90" s="1" t="n">
        <f aca="false">Q90*$R$35+$R$31</f>
        <v>-526042.278520818</v>
      </c>
      <c r="S90" s="1" t="n">
        <f aca="false">R90*$S$35</f>
        <v>-0</v>
      </c>
      <c r="T90" s="0" t="n">
        <f aca="false">M90</f>
        <v>653360.040123443</v>
      </c>
      <c r="V90" s="0" t="n">
        <f aca="false">V89+1</f>
        <v>85</v>
      </c>
      <c r="W90" s="0" t="n">
        <v>2054</v>
      </c>
      <c r="X90" s="1" t="n">
        <f aca="false">X89+Y89-Z89-AA89</f>
        <v>449550480.060591</v>
      </c>
      <c r="Y90" s="1" t="n">
        <f aca="false">X90*$Y$35</f>
        <v>67432572.0090886</v>
      </c>
      <c r="Z90" s="1" t="n">
        <f aca="false">Y90*$Z$35</f>
        <v>20229771.6027266</v>
      </c>
      <c r="AB90" s="0" t="n">
        <f aca="false">V90</f>
        <v>85</v>
      </c>
      <c r="AC90" s="1" t="n">
        <f aca="false">X90+Q90+H90</f>
        <v>457470331.949239</v>
      </c>
    </row>
    <row r="91" customFormat="false" ht="15" hidden="false" customHeight="false" outlineLevel="0" collapsed="false">
      <c r="F91" s="0" t="n">
        <f aca="false">F90+1</f>
        <v>86</v>
      </c>
      <c r="G91" s="0" t="n">
        <v>2055</v>
      </c>
      <c r="H91" s="1" t="n">
        <f aca="false">H90+I90-J90-K90</f>
        <v>18967542.0563211</v>
      </c>
      <c r="I91" s="1" t="n">
        <f aca="false">H91*$I$35</f>
        <v>1517403.36450569</v>
      </c>
      <c r="J91" s="1" t="n">
        <f aca="false">I91*$J$37</f>
        <v>303480.672901138</v>
      </c>
      <c r="K91" s="0" t="n">
        <f aca="false">M91</f>
        <v>679494.441728381</v>
      </c>
      <c r="M91" s="1" t="n">
        <f aca="false">M90*(1+$L$36)</f>
        <v>679494.441728381</v>
      </c>
      <c r="O91" s="0" t="n">
        <f aca="false">O90+1</f>
        <v>86</v>
      </c>
      <c r="P91" s="0" t="n">
        <v>2055</v>
      </c>
      <c r="Q91" s="1" t="n">
        <f aca="false">Q90+R90-S90-T90</f>
        <v>-11700247.8890606</v>
      </c>
      <c r="R91" s="1" t="n">
        <f aca="false">Q91*$R$35+$R$31</f>
        <v>-585012.394453031</v>
      </c>
      <c r="S91" s="1" t="n">
        <f aca="false">R91*$S$35</f>
        <v>-0</v>
      </c>
      <c r="T91" s="0" t="n">
        <f aca="false">M91</f>
        <v>679494.441728381</v>
      </c>
      <c r="V91" s="0" t="n">
        <f aca="false">V90+1</f>
        <v>86</v>
      </c>
      <c r="W91" s="0" t="n">
        <v>2055</v>
      </c>
      <c r="X91" s="1" t="n">
        <f aca="false">X90+Y90-Z90-AA90</f>
        <v>496753280.466953</v>
      </c>
      <c r="Y91" s="1" t="n">
        <f aca="false">X91*$Y$35</f>
        <v>74512992.0700429</v>
      </c>
      <c r="Z91" s="1" t="n">
        <f aca="false">Y91*$Z$35</f>
        <v>22353897.6210129</v>
      </c>
      <c r="AB91" s="0" t="n">
        <f aca="false">V91</f>
        <v>86</v>
      </c>
      <c r="AC91" s="1" t="n">
        <f aca="false">X91+Q91+H91</f>
        <v>504020574.634213</v>
      </c>
    </row>
    <row r="92" customFormat="false" ht="15" hidden="false" customHeight="false" outlineLevel="0" collapsed="false">
      <c r="F92" s="0" t="n">
        <f aca="false">F91+1</f>
        <v>87</v>
      </c>
      <c r="G92" s="0" t="n">
        <v>2056</v>
      </c>
      <c r="H92" s="1" t="n">
        <f aca="false">H91+I91-J91-K91</f>
        <v>19501970.3061973</v>
      </c>
      <c r="I92" s="1" t="n">
        <f aca="false">H92*$I$35</f>
        <v>1560157.62449578</v>
      </c>
      <c r="J92" s="1" t="n">
        <f aca="false">I92*$J$37</f>
        <v>312031.524899156</v>
      </c>
      <c r="K92" s="0" t="n">
        <f aca="false">M92</f>
        <v>706674.219397516</v>
      </c>
      <c r="M92" s="1" t="n">
        <f aca="false">M91*(1+$L$36)</f>
        <v>706674.219397516</v>
      </c>
      <c r="O92" s="0" t="n">
        <f aca="false">O91+1</f>
        <v>87</v>
      </c>
      <c r="P92" s="0" t="n">
        <v>2056</v>
      </c>
      <c r="Q92" s="1" t="n">
        <f aca="false">Q91+R91-S91-T91</f>
        <v>-12964754.725242</v>
      </c>
      <c r="R92" s="1" t="n">
        <f aca="false">Q92*$R$35+$R$31</f>
        <v>-648237.736262102</v>
      </c>
      <c r="S92" s="1" t="n">
        <f aca="false">R92*$S$35</f>
        <v>-0</v>
      </c>
      <c r="T92" s="0" t="n">
        <f aca="false">M92</f>
        <v>706674.219397516</v>
      </c>
      <c r="V92" s="0" t="n">
        <f aca="false">V91+1</f>
        <v>87</v>
      </c>
      <c r="W92" s="0" t="n">
        <v>2056</v>
      </c>
      <c r="X92" s="1" t="n">
        <f aca="false">X91+Y91-Z91-AA91</f>
        <v>548912374.915983</v>
      </c>
      <c r="Y92" s="1" t="n">
        <f aca="false">X92*$Y$35</f>
        <v>82336856.2373974</v>
      </c>
      <c r="Z92" s="1" t="n">
        <f aca="false">Y92*$Z$35</f>
        <v>24701056.8712192</v>
      </c>
      <c r="AB92" s="0" t="n">
        <f aca="false">V92</f>
        <v>87</v>
      </c>
      <c r="AC92" s="1" t="n">
        <f aca="false">X92+Q92+H92</f>
        <v>555449590.496938</v>
      </c>
    </row>
    <row r="93" customFormat="false" ht="15" hidden="false" customHeight="false" outlineLevel="0" collapsed="false">
      <c r="F93" s="0" t="n">
        <f aca="false">F92+1</f>
        <v>88</v>
      </c>
      <c r="G93" s="0" t="n">
        <v>2057</v>
      </c>
      <c r="H93" s="1" t="n">
        <f aca="false">H92+I92-J92-K92</f>
        <v>20043422.1863964</v>
      </c>
      <c r="I93" s="1" t="n">
        <f aca="false">H93*$I$35</f>
        <v>1603473.77491171</v>
      </c>
      <c r="J93" s="1" t="n">
        <f aca="false">I93*$J$37</f>
        <v>320694.754982342</v>
      </c>
      <c r="K93" s="0" t="n">
        <f aca="false">M93</f>
        <v>734941.188173417</v>
      </c>
      <c r="M93" s="1" t="n">
        <f aca="false">M92*(1+$L$36)</f>
        <v>734941.188173417</v>
      </c>
      <c r="O93" s="0" t="n">
        <f aca="false">O92+1</f>
        <v>88</v>
      </c>
      <c r="P93" s="0" t="n">
        <v>2057</v>
      </c>
      <c r="Q93" s="1" t="n">
        <f aca="false">Q92+R92-S92-T92</f>
        <v>-14319666.6809017</v>
      </c>
      <c r="R93" s="1" t="n">
        <f aca="false">Q93*$R$35+$R$31</f>
        <v>-715983.334045083</v>
      </c>
      <c r="S93" s="1" t="n">
        <f aca="false">R93*$S$35</f>
        <v>-0</v>
      </c>
      <c r="T93" s="0" t="n">
        <f aca="false">M93</f>
        <v>734941.188173417</v>
      </c>
      <c r="V93" s="0" t="n">
        <f aca="false">V92+1</f>
        <v>88</v>
      </c>
      <c r="W93" s="0" t="n">
        <v>2057</v>
      </c>
      <c r="X93" s="1" t="n">
        <f aca="false">X92+Y92-Z92-AA92</f>
        <v>606548174.282161</v>
      </c>
      <c r="Y93" s="1" t="n">
        <f aca="false">X93*$Y$35</f>
        <v>90982226.1423242</v>
      </c>
      <c r="Z93" s="1" t="n">
        <f aca="false">Y93*$Z$35</f>
        <v>27294667.8426972</v>
      </c>
      <c r="AB93" s="0" t="n">
        <f aca="false">V93</f>
        <v>88</v>
      </c>
      <c r="AC93" s="1" t="n">
        <f aca="false">X93+Q93+H93</f>
        <v>612271929.787656</v>
      </c>
    </row>
    <row r="94" customFormat="false" ht="15" hidden="false" customHeight="false" outlineLevel="0" collapsed="false">
      <c r="F94" s="0" t="n">
        <f aca="false">F93+1</f>
        <v>89</v>
      </c>
      <c r="G94" s="0" t="n">
        <v>2058</v>
      </c>
      <c r="H94" s="1" t="n">
        <f aca="false">H93+I93-J93-K93</f>
        <v>20591260.0181523</v>
      </c>
      <c r="I94" s="1" t="n">
        <f aca="false">H94*$I$35</f>
        <v>1647300.80145219</v>
      </c>
      <c r="J94" s="1" t="n">
        <f aca="false">I94*$J$37</f>
        <v>329460.160290437</v>
      </c>
      <c r="K94" s="0" t="n">
        <f aca="false">M94</f>
        <v>764338.835700354</v>
      </c>
      <c r="M94" s="1" t="n">
        <f aca="false">M93*(1+$L$36)</f>
        <v>764338.835700354</v>
      </c>
      <c r="O94" s="0" t="n">
        <f aca="false">O93+1</f>
        <v>89</v>
      </c>
      <c r="P94" s="0" t="n">
        <v>2058</v>
      </c>
      <c r="Q94" s="1" t="n">
        <f aca="false">Q93+R93-S93-T93</f>
        <v>-15770591.2031202</v>
      </c>
      <c r="R94" s="1" t="n">
        <f aca="false">Q94*$R$35+$R$31</f>
        <v>-788529.560156008</v>
      </c>
      <c r="S94" s="1" t="n">
        <f aca="false">R94*$S$35</f>
        <v>-0</v>
      </c>
      <c r="T94" s="0" t="n">
        <f aca="false">M94</f>
        <v>764338.835700354</v>
      </c>
      <c r="V94" s="0" t="n">
        <f aca="false">V93+1</f>
        <v>89</v>
      </c>
      <c r="W94" s="0" t="n">
        <v>2058</v>
      </c>
      <c r="X94" s="1" t="n">
        <f aca="false">X93+Y93-Z93-AA93</f>
        <v>670235732.581788</v>
      </c>
      <c r="Y94" s="1" t="n">
        <f aca="false">X94*$Y$35</f>
        <v>100535359.887268</v>
      </c>
      <c r="Z94" s="1" t="n">
        <f aca="false">Y94*$Z$35</f>
        <v>30160607.9661805</v>
      </c>
      <c r="AB94" s="0" t="n">
        <f aca="false">V94</f>
        <v>89</v>
      </c>
      <c r="AC94" s="1" t="n">
        <f aca="false">X94+Q94+H94</f>
        <v>675056401.39682</v>
      </c>
    </row>
    <row r="95" customFormat="false" ht="15" hidden="false" customHeight="false" outlineLevel="0" collapsed="false">
      <c r="F95" s="0" t="n">
        <f aca="false">F94+1</f>
        <v>90</v>
      </c>
      <c r="G95" s="0" t="n">
        <v>2059</v>
      </c>
      <c r="H95" s="1" t="n">
        <f aca="false">H94+I94-J94-K94</f>
        <v>21144761.8236137</v>
      </c>
      <c r="I95" s="1" t="n">
        <f aca="false">H95*$I$35</f>
        <v>1691580.9458891</v>
      </c>
      <c r="J95" s="1" t="n">
        <f aca="false">I95*$J$37</f>
        <v>338316.18917782</v>
      </c>
      <c r="K95" s="0" t="n">
        <f aca="false">M95</f>
        <v>794912.389128368</v>
      </c>
      <c r="M95" s="1" t="n">
        <f aca="false">M94*(1+$L$36)</f>
        <v>794912.389128368</v>
      </c>
      <c r="O95" s="0" t="n">
        <f aca="false">O94+1</f>
        <v>90</v>
      </c>
      <c r="P95" s="0" t="n">
        <v>2059</v>
      </c>
      <c r="Q95" s="1" t="n">
        <f aca="false">Q94+R94-S94-T94</f>
        <v>-17323459.5989765</v>
      </c>
      <c r="R95" s="1" t="n">
        <f aca="false">Q95*$R$35+$R$31</f>
        <v>-866172.979948826</v>
      </c>
      <c r="S95" s="1" t="n">
        <f aca="false">R95*$S$35</f>
        <v>-0</v>
      </c>
      <c r="T95" s="0" t="n">
        <f aca="false">M95</f>
        <v>794912.389128368</v>
      </c>
      <c r="V95" s="0" t="n">
        <f aca="false">V94+1</f>
        <v>90</v>
      </c>
      <c r="W95" s="0" t="n">
        <v>2059</v>
      </c>
      <c r="X95" s="1" t="n">
        <f aca="false">X94+Y94-Z94-AA94</f>
        <v>740610484.502876</v>
      </c>
      <c r="Y95" s="1" t="n">
        <f aca="false">X95*$Y$35</f>
        <v>111091572.675431</v>
      </c>
      <c r="Z95" s="1" t="n">
        <f aca="false">Y95*$Z$35</f>
        <v>33327471.8026294</v>
      </c>
      <c r="AB95" s="0" t="n">
        <f aca="false">V95</f>
        <v>90</v>
      </c>
      <c r="AC95" s="1" t="n">
        <f aca="false">X95+Q95+H95</f>
        <v>744431786.727513</v>
      </c>
    </row>
    <row r="96" customFormat="false" ht="15" hidden="false" customHeight="false" outlineLevel="0" collapsed="false">
      <c r="F96" s="0" t="n">
        <f aca="false">F95+1</f>
        <v>91</v>
      </c>
      <c r="G96" s="0" t="n">
        <v>2060</v>
      </c>
      <c r="H96" s="1" t="n">
        <f aca="false">H95+I95-J95-K95</f>
        <v>21703114.1911966</v>
      </c>
      <c r="I96" s="1" t="n">
        <f aca="false">H96*$I$35</f>
        <v>1736249.13529573</v>
      </c>
      <c r="J96" s="1" t="n">
        <f aca="false">I96*$J$37</f>
        <v>347249.827059146</v>
      </c>
      <c r="K96" s="0" t="n">
        <f aca="false">M96</f>
        <v>826708.884693502</v>
      </c>
      <c r="M96" s="1" t="n">
        <f aca="false">M95*(1+$L$36)</f>
        <v>826708.884693502</v>
      </c>
      <c r="O96" s="0" t="n">
        <f aca="false">O95+1</f>
        <v>91</v>
      </c>
      <c r="P96" s="0" t="n">
        <v>2060</v>
      </c>
      <c r="Q96" s="1" t="n">
        <f aca="false">Q95+R95-S95-T95</f>
        <v>-18984544.9680537</v>
      </c>
      <c r="R96" s="1" t="n">
        <f aca="false">Q96*$R$35+$R$31</f>
        <v>-949227.248402686</v>
      </c>
      <c r="S96" s="1" t="n">
        <f aca="false">R96*$S$35</f>
        <v>-0</v>
      </c>
      <c r="T96" s="0" t="n">
        <f aca="false">M96</f>
        <v>826708.884693502</v>
      </c>
      <c r="V96" s="0" t="n">
        <f aca="false">V95+1</f>
        <v>91</v>
      </c>
      <c r="W96" s="0" t="n">
        <v>2060</v>
      </c>
      <c r="X96" s="1" t="n">
        <f aca="false">X95+Y95-Z95-AA95</f>
        <v>818374585.375678</v>
      </c>
      <c r="Y96" s="1" t="n">
        <f aca="false">X96*$Y$35</f>
        <v>122756187.806352</v>
      </c>
      <c r="Z96" s="1" t="n">
        <f aca="false">Y96*$Z$35</f>
        <v>36826856.3419055</v>
      </c>
      <c r="AB96" s="0" t="n">
        <f aca="false">V96</f>
        <v>91</v>
      </c>
      <c r="AC96" s="1" t="n">
        <f aca="false">X96+Q96+H96</f>
        <v>821093154.598821</v>
      </c>
    </row>
    <row r="97" customFormat="false" ht="15" hidden="false" customHeight="false" outlineLevel="0" collapsed="false">
      <c r="F97" s="0" t="n">
        <f aca="false">F96+1</f>
        <v>92</v>
      </c>
      <c r="G97" s="0" t="n">
        <v>2061</v>
      </c>
      <c r="H97" s="1" t="n">
        <f aca="false">H96+I96-J96-K96</f>
        <v>22265404.6147397</v>
      </c>
      <c r="I97" s="1" t="n">
        <f aca="false">H97*$I$35</f>
        <v>1781232.36917918</v>
      </c>
      <c r="J97" s="1" t="n">
        <f aca="false">I97*$J$37</f>
        <v>356246.473835835</v>
      </c>
      <c r="K97" s="0" t="n">
        <f aca="false">M97</f>
        <v>859777.240081243</v>
      </c>
      <c r="M97" s="1" t="n">
        <f aca="false">M96*(1+$L$36)</f>
        <v>859777.240081243</v>
      </c>
      <c r="O97" s="0" t="n">
        <f aca="false">O96+1</f>
        <v>92</v>
      </c>
      <c r="P97" s="0" t="n">
        <v>2061</v>
      </c>
      <c r="Q97" s="1" t="n">
        <f aca="false">Q96+R96-S96-T96</f>
        <v>-20760481.1011499</v>
      </c>
      <c r="R97" s="1" t="n">
        <f aca="false">Q97*$R$35+$R$31</f>
        <v>-1038024.0550575</v>
      </c>
      <c r="S97" s="1" t="n">
        <f aca="false">R97*$S$35</f>
        <v>-0</v>
      </c>
      <c r="T97" s="0" t="n">
        <f aca="false">M97</f>
        <v>859777.240081243</v>
      </c>
      <c r="V97" s="0" t="n">
        <f aca="false">V96+1</f>
        <v>92</v>
      </c>
      <c r="W97" s="0" t="n">
        <v>2061</v>
      </c>
      <c r="X97" s="1" t="n">
        <f aca="false">X96+Y96-Z96-AA96</f>
        <v>904303916.840124</v>
      </c>
      <c r="Y97" s="1" t="n">
        <f aca="false">X97*$Y$35</f>
        <v>135645587.526019</v>
      </c>
      <c r="Z97" s="1" t="n">
        <f aca="false">Y97*$Z$35</f>
        <v>40693676.2578056</v>
      </c>
      <c r="AB97" s="0" t="n">
        <f aca="false">V97</f>
        <v>92</v>
      </c>
      <c r="AC97" s="1" t="n">
        <f aca="false">X97+Q97+H97</f>
        <v>905808840.353714</v>
      </c>
    </row>
    <row r="98" customFormat="false" ht="15" hidden="false" customHeight="false" outlineLevel="0" collapsed="false">
      <c r="F98" s="0" t="n">
        <f aca="false">F97+1</f>
        <v>93</v>
      </c>
      <c r="G98" s="0" t="n">
        <v>2062</v>
      </c>
      <c r="H98" s="1" t="n">
        <f aca="false">H97+I97-J97-K97</f>
        <v>22830613.2700018</v>
      </c>
      <c r="I98" s="1" t="n">
        <f aca="false">H98*$I$35</f>
        <v>1826449.06160015</v>
      </c>
      <c r="J98" s="1" t="n">
        <f aca="false">I98*$J$37</f>
        <v>365289.812320029</v>
      </c>
      <c r="K98" s="0" t="n">
        <f aca="false">M98</f>
        <v>894168.329684492</v>
      </c>
      <c r="M98" s="1" t="n">
        <f aca="false">M97*(1+$L$36)</f>
        <v>894168.329684492</v>
      </c>
      <c r="O98" s="0" t="n">
        <f aca="false">O97+1</f>
        <v>93</v>
      </c>
      <c r="P98" s="0" t="n">
        <v>2062</v>
      </c>
      <c r="Q98" s="1" t="n">
        <f aca="false">Q97+R97-S97-T97</f>
        <v>-22658282.3962886</v>
      </c>
      <c r="R98" s="1" t="n">
        <f aca="false">Q98*$R$35+$R$31</f>
        <v>-1132914.11981443</v>
      </c>
      <c r="S98" s="1" t="n">
        <f aca="false">R98*$S$35</f>
        <v>-0</v>
      </c>
      <c r="T98" s="0" t="n">
        <f aca="false">M98</f>
        <v>894168.329684492</v>
      </c>
      <c r="V98" s="0" t="n">
        <f aca="false">V97+1</f>
        <v>93</v>
      </c>
      <c r="W98" s="0" t="n">
        <v>2062</v>
      </c>
      <c r="X98" s="1" t="n">
        <f aca="false">X97+Y97-Z97-AA97</f>
        <v>999255828.108337</v>
      </c>
      <c r="Y98" s="1" t="n">
        <f aca="false">X98*$Y$35</f>
        <v>149888374.216251</v>
      </c>
      <c r="Z98" s="1" t="n">
        <f aca="false">Y98*$Z$35</f>
        <v>44966512.2648752</v>
      </c>
      <c r="AB98" s="0" t="n">
        <f aca="false">V98</f>
        <v>93</v>
      </c>
      <c r="AC98" s="1" t="n">
        <f aca="false">X98+Q98+H98</f>
        <v>999428158.98205</v>
      </c>
    </row>
    <row r="99" customFormat="false" ht="15" hidden="false" customHeight="false" outlineLevel="0" collapsed="false">
      <c r="F99" s="0" t="n">
        <f aca="false">F98+1</f>
        <v>94</v>
      </c>
      <c r="G99" s="0" t="n">
        <v>2063</v>
      </c>
      <c r="H99" s="1" t="n">
        <f aca="false">H98+I98-J98-K98</f>
        <v>23397604.1895974</v>
      </c>
      <c r="I99" s="1" t="n">
        <f aca="false">H99*$I$35</f>
        <v>1871808.3351678</v>
      </c>
      <c r="J99" s="1" t="n">
        <f aca="false">I99*$J$37</f>
        <v>374361.667033559</v>
      </c>
      <c r="K99" s="0" t="n">
        <f aca="false">M99</f>
        <v>929935.062871872</v>
      </c>
      <c r="M99" s="1" t="n">
        <f aca="false">M98*(1+$L$36)</f>
        <v>929935.062871872</v>
      </c>
      <c r="O99" s="0" t="n">
        <f aca="false">O98+1</f>
        <v>94</v>
      </c>
      <c r="P99" s="0" t="n">
        <v>2063</v>
      </c>
      <c r="Q99" s="1" t="n">
        <f aca="false">Q98+R98-S98-T98</f>
        <v>-24685364.8457876</v>
      </c>
      <c r="R99" s="1" t="n">
        <f aca="false">Q99*$R$35+$R$31</f>
        <v>-1234268.24228938</v>
      </c>
      <c r="S99" s="1" t="n">
        <f aca="false">R99*$S$35</f>
        <v>-0</v>
      </c>
      <c r="T99" s="0" t="n">
        <f aca="false">M99</f>
        <v>929935.062871872</v>
      </c>
      <c r="V99" s="0" t="n">
        <f aca="false">V98+1</f>
        <v>94</v>
      </c>
      <c r="W99" s="0" t="n">
        <v>2063</v>
      </c>
      <c r="X99" s="1" t="n">
        <f aca="false">X98+Y98-Z98-AA98</f>
        <v>1104177690.05971</v>
      </c>
      <c r="Y99" s="1" t="n">
        <f aca="false">X99*$Y$35</f>
        <v>165626653.508957</v>
      </c>
      <c r="Z99" s="1" t="n">
        <f aca="false">Y99*$Z$35</f>
        <v>49687996.052687</v>
      </c>
      <c r="AB99" s="0" t="n">
        <f aca="false">V99</f>
        <v>94</v>
      </c>
      <c r="AC99" s="1" t="n">
        <f aca="false">X99+Q99+H99</f>
        <v>1102889929.40352</v>
      </c>
    </row>
    <row r="100" customFormat="false" ht="15" hidden="false" customHeight="false" outlineLevel="0" collapsed="false">
      <c r="F100" s="0" t="n">
        <f aca="false">F99+1</f>
        <v>95</v>
      </c>
      <c r="G100" s="0" t="n">
        <v>2064</v>
      </c>
      <c r="H100" s="1" t="n">
        <f aca="false">H99+I99-J99-K99</f>
        <v>23965115.7948598</v>
      </c>
      <c r="I100" s="1" t="n">
        <f aca="false">H100*$I$35</f>
        <v>1917209.26358878</v>
      </c>
      <c r="J100" s="1" t="n">
        <f aca="false">I100*$J$37</f>
        <v>383441.852717757</v>
      </c>
      <c r="K100" s="0" t="n">
        <f aca="false">M100</f>
        <v>967132.465386747</v>
      </c>
      <c r="M100" s="1" t="n">
        <f aca="false">M99*(1+$L$36)</f>
        <v>967132.465386747</v>
      </c>
      <c r="O100" s="0" t="n">
        <f aca="false">O99+1</f>
        <v>95</v>
      </c>
      <c r="P100" s="0" t="n">
        <v>2064</v>
      </c>
      <c r="Q100" s="1" t="n">
        <f aca="false">Q99+R99-S99-T99</f>
        <v>-26849568.1509488</v>
      </c>
      <c r="R100" s="1" t="n">
        <f aca="false">Q100*$R$35+$R$31</f>
        <v>-1342478.40754744</v>
      </c>
      <c r="S100" s="1" t="n">
        <f aca="false">R100*$S$35</f>
        <v>-0</v>
      </c>
      <c r="T100" s="0" t="n">
        <f aca="false">M100</f>
        <v>967132.465386747</v>
      </c>
      <c r="V100" s="0" t="n">
        <f aca="false">V99+1</f>
        <v>95</v>
      </c>
      <c r="W100" s="0" t="n">
        <v>2064</v>
      </c>
      <c r="X100" s="1" t="n">
        <f aca="false">X99+Y99-Z99-AA99</f>
        <v>1220116347.51598</v>
      </c>
      <c r="Y100" s="1" t="n">
        <f aca="false">X100*$Y$35</f>
        <v>183017452.127397</v>
      </c>
      <c r="Z100" s="1" t="n">
        <f aca="false">Y100*$Z$35</f>
        <v>54905235.6382192</v>
      </c>
      <c r="AB100" s="0" t="n">
        <f aca="false">V100</f>
        <v>95</v>
      </c>
      <c r="AC100" s="1" t="n">
        <f aca="false">X100+Q100+H100</f>
        <v>1217231895.15989</v>
      </c>
    </row>
    <row r="101" customFormat="false" ht="15" hidden="false" customHeight="false" outlineLevel="0" collapsed="false">
      <c r="F101" s="0" t="n">
        <f aca="false">F100+1</f>
        <v>96</v>
      </c>
      <c r="G101" s="0" t="n">
        <v>2065</v>
      </c>
      <c r="H101" s="1" t="n">
        <f aca="false">H100+I100-J100-K100</f>
        <v>24531750.7403441</v>
      </c>
      <c r="I101" s="1" t="n">
        <f aca="false">H101*$I$35</f>
        <v>1962540.05922753</v>
      </c>
      <c r="J101" s="1" t="n">
        <f aca="false">I101*$J$37</f>
        <v>392508.011845505</v>
      </c>
      <c r="K101" s="0" t="n">
        <f aca="false">M101</f>
        <v>1005817.76400222</v>
      </c>
      <c r="M101" s="1" t="n">
        <f aca="false">M100*(1+$L$36)</f>
        <v>1005817.76400222</v>
      </c>
      <c r="O101" s="0" t="n">
        <f aca="false">O100+1</f>
        <v>96</v>
      </c>
      <c r="P101" s="0" t="n">
        <v>2065</v>
      </c>
      <c r="Q101" s="1" t="n">
        <f aca="false">Q100+R100-S100-T100</f>
        <v>-29159179.023883</v>
      </c>
      <c r="R101" s="1" t="n">
        <f aca="false">Q101*$R$35+$R$31</f>
        <v>-1457958.95119415</v>
      </c>
      <c r="S101" s="1" t="n">
        <f aca="false">R101*$S$35</f>
        <v>-0</v>
      </c>
      <c r="T101" s="0" t="n">
        <f aca="false">M101</f>
        <v>1005817.76400222</v>
      </c>
      <c r="V101" s="0" t="n">
        <f aca="false">V100+1</f>
        <v>96</v>
      </c>
      <c r="W101" s="0" t="n">
        <v>2065</v>
      </c>
      <c r="X101" s="1" t="n">
        <f aca="false">X100+Y100-Z100-AA100</f>
        <v>1348228564.00516</v>
      </c>
      <c r="Y101" s="1" t="n">
        <f aca="false">X101*$Y$35</f>
        <v>202234284.600774</v>
      </c>
      <c r="Z101" s="1" t="n">
        <f aca="false">Y101*$Z$35</f>
        <v>60670285.3802322</v>
      </c>
      <c r="AB101" s="0" t="n">
        <f aca="false">V101</f>
        <v>96</v>
      </c>
      <c r="AC101" s="1" t="n">
        <f aca="false">X101+Q101+H101</f>
        <v>1343601135.72162</v>
      </c>
    </row>
    <row r="102" customFormat="false" ht="15" hidden="false" customHeight="false" outlineLevel="0" collapsed="false">
      <c r="F102" s="0" t="n">
        <f aca="false">F101+1</f>
        <v>97</v>
      </c>
      <c r="G102" s="0" t="n">
        <v>2066</v>
      </c>
      <c r="H102" s="1" t="n">
        <f aca="false">H101+I101-J101-K101</f>
        <v>25095965.0237239</v>
      </c>
      <c r="I102" s="1" t="n">
        <f aca="false">H102*$I$35</f>
        <v>2007677.20189791</v>
      </c>
      <c r="J102" s="1" t="n">
        <f aca="false">I102*$J$37</f>
        <v>401535.440379582</v>
      </c>
      <c r="K102" s="0" t="n">
        <f aca="false">M102</f>
        <v>1046050.47456231</v>
      </c>
      <c r="M102" s="1" t="n">
        <f aca="false">M101*(1+$L$36)</f>
        <v>1046050.47456231</v>
      </c>
      <c r="O102" s="0" t="n">
        <f aca="false">O101+1</f>
        <v>97</v>
      </c>
      <c r="P102" s="0" t="n">
        <v>2066</v>
      </c>
      <c r="Q102" s="1" t="n">
        <f aca="false">Q101+R101-S101-T101</f>
        <v>-31622955.7390794</v>
      </c>
      <c r="R102" s="1" t="n">
        <f aca="false">Q102*$R$35+$R$31</f>
        <v>-1581147.78695397</v>
      </c>
      <c r="S102" s="1" t="n">
        <f aca="false">R102*$S$35</f>
        <v>-0</v>
      </c>
      <c r="T102" s="0" t="n">
        <f aca="false">M102</f>
        <v>1046050.47456231</v>
      </c>
      <c r="V102" s="0" t="n">
        <f aca="false">V101+1</f>
        <v>97</v>
      </c>
      <c r="W102" s="0" t="n">
        <v>2066</v>
      </c>
      <c r="X102" s="1" t="n">
        <f aca="false">X101+Y101-Z101-AA101</f>
        <v>1489792563.2257</v>
      </c>
      <c r="Y102" s="1" t="n">
        <f aca="false">X102*$Y$35</f>
        <v>223468884.483855</v>
      </c>
      <c r="Z102" s="1" t="n">
        <f aca="false">Y102*$Z$35</f>
        <v>67040665.3451566</v>
      </c>
      <c r="AB102" s="0" t="n">
        <f aca="false">V102</f>
        <v>97</v>
      </c>
      <c r="AC102" s="1" t="n">
        <f aca="false">X102+Q102+H102</f>
        <v>1483265572.51035</v>
      </c>
    </row>
    <row r="103" customFormat="false" ht="15" hidden="false" customHeight="false" outlineLevel="0" collapsed="false">
      <c r="F103" s="0" t="n">
        <f aca="false">F102+1</f>
        <v>98</v>
      </c>
      <c r="G103" s="0" t="n">
        <v>2067</v>
      </c>
      <c r="H103" s="1" t="n">
        <f aca="false">H102+I102-J102-K102</f>
        <v>25656056.3106799</v>
      </c>
      <c r="I103" s="1" t="n">
        <f aca="false">H103*$I$35</f>
        <v>2052484.50485439</v>
      </c>
      <c r="J103" s="1" t="n">
        <f aca="false">I103*$J$37</f>
        <v>410496.900970879</v>
      </c>
      <c r="K103" s="0" t="n">
        <f aca="false">M103</f>
        <v>1087892.4935448</v>
      </c>
      <c r="M103" s="1" t="n">
        <f aca="false">M102*(1+$L$36)</f>
        <v>1087892.4935448</v>
      </c>
      <c r="O103" s="0" t="n">
        <f aca="false">O102+1</f>
        <v>98</v>
      </c>
      <c r="P103" s="0" t="n">
        <v>2067</v>
      </c>
      <c r="Q103" s="1" t="n">
        <f aca="false">Q102+R102-S102-T102</f>
        <v>-34250154.0005957</v>
      </c>
      <c r="R103" s="1" t="n">
        <f aca="false">Q103*$R$35+$R$31</f>
        <v>-1712507.70002978</v>
      </c>
      <c r="S103" s="1" t="n">
        <f aca="false">R103*$S$35</f>
        <v>-0</v>
      </c>
      <c r="T103" s="0" t="n">
        <f aca="false">M103</f>
        <v>1087892.4935448</v>
      </c>
      <c r="V103" s="0" t="n">
        <f aca="false">V102+1</f>
        <v>98</v>
      </c>
      <c r="W103" s="0" t="n">
        <v>2067</v>
      </c>
      <c r="X103" s="1" t="n">
        <f aca="false">X102+Y102-Z102-AA102</f>
        <v>1646220782.3644</v>
      </c>
      <c r="Y103" s="1" t="n">
        <f aca="false">X103*$Y$35</f>
        <v>246933117.35466</v>
      </c>
      <c r="Z103" s="1" t="n">
        <f aca="false">Y103*$Z$35</f>
        <v>74079935.206398</v>
      </c>
      <c r="AB103" s="0" t="n">
        <f aca="false">V103</f>
        <v>98</v>
      </c>
      <c r="AC103" s="1" t="n">
        <f aca="false">X103+Q103+H103</f>
        <v>1637626684.67449</v>
      </c>
    </row>
    <row r="104" customFormat="false" ht="15" hidden="false" customHeight="false" outlineLevel="0" collapsed="false">
      <c r="F104" s="0" t="n">
        <f aca="false">F103+1</f>
        <v>99</v>
      </c>
      <c r="G104" s="0" t="n">
        <v>2068</v>
      </c>
      <c r="H104" s="1" t="n">
        <f aca="false">H103+I103-J103-K103</f>
        <v>26210151.4210186</v>
      </c>
      <c r="I104" s="1" t="n">
        <f aca="false">H104*$I$35</f>
        <v>2096812.11368149</v>
      </c>
      <c r="J104" s="1" t="n">
        <f aca="false">I104*$J$37</f>
        <v>419362.422736298</v>
      </c>
      <c r="K104" s="0" t="n">
        <f aca="false">M104</f>
        <v>1131408.19328659</v>
      </c>
      <c r="M104" s="1" t="n">
        <f aca="false">M103*(1+$L$36)</f>
        <v>1131408.19328659</v>
      </c>
      <c r="O104" s="0" t="n">
        <f aca="false">O103+1</f>
        <v>99</v>
      </c>
      <c r="P104" s="0" t="n">
        <v>2068</v>
      </c>
      <c r="Q104" s="1" t="n">
        <f aca="false">Q103+R103-S103-T103</f>
        <v>-37050554.1941702</v>
      </c>
      <c r="R104" s="1" t="n">
        <f aca="false">Q104*$R$35+$R$31</f>
        <v>-1852527.70970851</v>
      </c>
      <c r="S104" s="1" t="n">
        <f aca="false">R104*$S$35</f>
        <v>-0</v>
      </c>
      <c r="T104" s="0" t="n">
        <f aca="false">M104</f>
        <v>1131408.19328659</v>
      </c>
      <c r="V104" s="0" t="n">
        <f aca="false">V103+1</f>
        <v>99</v>
      </c>
      <c r="W104" s="0" t="n">
        <v>2068</v>
      </c>
      <c r="X104" s="1" t="n">
        <f aca="false">X103+Y103-Z103-AA103</f>
        <v>1819073964.51266</v>
      </c>
      <c r="Y104" s="1" t="n">
        <f aca="false">X104*$Y$35</f>
        <v>272861094.676899</v>
      </c>
      <c r="Z104" s="1" t="n">
        <f aca="false">Y104*$Z$35</f>
        <v>81858328.4030698</v>
      </c>
      <c r="AB104" s="0" t="n">
        <f aca="false">V104</f>
        <v>99</v>
      </c>
      <c r="AC104" s="1" t="n">
        <f aca="false">X104+Q104+H104</f>
        <v>1808233561.73951</v>
      </c>
    </row>
    <row r="105" customFormat="false" ht="15" hidden="false" customHeight="false" outlineLevel="0" collapsed="false">
      <c r="F105" s="0" t="n">
        <f aca="false">F104+1</f>
        <v>100</v>
      </c>
      <c r="G105" s="0" t="n">
        <v>2069</v>
      </c>
      <c r="H105" s="1" t="n">
        <f aca="false">H104+I104-J104-K104</f>
        <v>26756192.9186772</v>
      </c>
      <c r="I105" s="1" t="n">
        <f aca="false">H105*$I$35</f>
        <v>2140495.43349418</v>
      </c>
      <c r="J105" s="1" t="n">
        <f aca="false">I105*$J$37</f>
        <v>428099.086698836</v>
      </c>
      <c r="K105" s="0" t="n">
        <f aca="false">M105</f>
        <v>1176664.52101805</v>
      </c>
      <c r="M105" s="1" t="n">
        <f aca="false">M104*(1+$L$36)</f>
        <v>1176664.52101805</v>
      </c>
      <c r="O105" s="0" t="n">
        <f aca="false">O104+1</f>
        <v>100</v>
      </c>
      <c r="P105" s="0" t="n">
        <v>2069</v>
      </c>
      <c r="Q105" s="1" t="n">
        <f aca="false">Q104+R104-S104-T104</f>
        <v>-40034490.0971653</v>
      </c>
      <c r="R105" s="1" t="n">
        <f aca="false">Q105*$R$35+$R$31</f>
        <v>-2001724.50485827</v>
      </c>
      <c r="S105" s="1" t="n">
        <f aca="false">R105*$S$35</f>
        <v>-0</v>
      </c>
      <c r="T105" s="0" t="n">
        <f aca="false">M105</f>
        <v>1176664.52101805</v>
      </c>
      <c r="V105" s="0" t="n">
        <f aca="false">V104+1</f>
        <v>100</v>
      </c>
      <c r="W105" s="0" t="n">
        <v>2069</v>
      </c>
      <c r="X105" s="1" t="n">
        <f aca="false">X104+Y104-Z104-AA104</f>
        <v>2010076730.78649</v>
      </c>
      <c r="Y105" s="1" t="n">
        <f aca="false">X105*$Y$35</f>
        <v>301511509.617974</v>
      </c>
      <c r="Z105" s="1" t="n">
        <f aca="false">Y105*$Z$35</f>
        <v>90453452.8853922</v>
      </c>
      <c r="AB105" s="0" t="n">
        <f aca="false">V105</f>
        <v>100</v>
      </c>
      <c r="AC105" s="1" t="n">
        <f aca="false">X105+Q105+H105</f>
        <v>1996798433.608</v>
      </c>
    </row>
    <row r="106" customFormat="false" ht="15" hidden="false" customHeight="false" outlineLevel="0" collapsed="false">
      <c r="F106" s="0" t="n">
        <f aca="false">F105+1</f>
        <v>101</v>
      </c>
      <c r="G106" s="0" t="n">
        <v>2070</v>
      </c>
      <c r="H106" s="1" t="n">
        <f aca="false">H105+I105-J105-K105</f>
        <v>27291924.7444545</v>
      </c>
      <c r="I106" s="1" t="n">
        <f aca="false">H106*$I$35</f>
        <v>2183353.97955636</v>
      </c>
      <c r="J106" s="1" t="n">
        <f aca="false">I106*$J$37</f>
        <v>436670.795911272</v>
      </c>
      <c r="K106" s="0" t="n">
        <f aca="false">M106</f>
        <v>1223731.10185878</v>
      </c>
      <c r="M106" s="1" t="n">
        <f aca="false">M105*(1+$L$36)</f>
        <v>1223731.10185878</v>
      </c>
      <c r="O106" s="0" t="n">
        <f aca="false">O105+1</f>
        <v>101</v>
      </c>
      <c r="P106" s="0" t="n">
        <v>2070</v>
      </c>
      <c r="Q106" s="1" t="n">
        <f aca="false">Q105+R105-S105-T105</f>
        <v>-43212879.1230417</v>
      </c>
      <c r="R106" s="1" t="n">
        <f aca="false">Q106*$R$35+$R$31</f>
        <v>-2160643.95615208</v>
      </c>
      <c r="S106" s="1" t="n">
        <f aca="false">R106*$S$35</f>
        <v>-0</v>
      </c>
      <c r="T106" s="0" t="n">
        <f aca="false">M106</f>
        <v>1223731.10185878</v>
      </c>
      <c r="V106" s="0" t="n">
        <f aca="false">V105+1</f>
        <v>101</v>
      </c>
      <c r="W106" s="0" t="n">
        <v>2070</v>
      </c>
      <c r="X106" s="1" t="n">
        <f aca="false">X105+Y105-Z105-AA105</f>
        <v>2221134787.51907</v>
      </c>
      <c r="Y106" s="1" t="n">
        <f aca="false">X106*$Y$35</f>
        <v>333170218.127861</v>
      </c>
      <c r="Z106" s="1" t="n">
        <f aca="false">Y106*$Z$35</f>
        <v>99951065.4383583</v>
      </c>
      <c r="AB106" s="0" t="n">
        <f aca="false">V106</f>
        <v>101</v>
      </c>
      <c r="AC106" s="1" t="n">
        <f aca="false">X106+Q106+H106</f>
        <v>2205213833.14049</v>
      </c>
    </row>
    <row r="107" customFormat="false" ht="15" hidden="false" customHeight="false" outlineLevel="0" collapsed="false">
      <c r="F107" s="0" t="n">
        <f aca="false">F106+1</f>
        <v>102</v>
      </c>
      <c r="G107" s="0" t="n">
        <v>2071</v>
      </c>
      <c r="H107" s="1" t="n">
        <f aca="false">H106+I106-J106-K106</f>
        <v>27814876.8262408</v>
      </c>
      <c r="I107" s="1" t="n">
        <f aca="false">H107*$I$35</f>
        <v>2225190.14609927</v>
      </c>
      <c r="J107" s="1" t="n">
        <f aca="false">I107*$J$37</f>
        <v>445038.029219853</v>
      </c>
      <c r="K107" s="0" t="n">
        <f aca="false">M107</f>
        <v>1272680.34593313</v>
      </c>
      <c r="M107" s="1" t="n">
        <f aca="false">M106*(1+$L$36)</f>
        <v>1272680.34593313</v>
      </c>
      <c r="O107" s="0" t="n">
        <f aca="false">O106+1</f>
        <v>102</v>
      </c>
      <c r="P107" s="0" t="n">
        <v>2071</v>
      </c>
      <c r="Q107" s="1" t="n">
        <f aca="false">Q106+R106-S106-T106</f>
        <v>-46597254.1810525</v>
      </c>
      <c r="R107" s="1" t="n">
        <f aca="false">Q107*$R$35+$R$31</f>
        <v>-2329862.70905263</v>
      </c>
      <c r="S107" s="1" t="n">
        <f aca="false">R107*$S$35</f>
        <v>-0</v>
      </c>
      <c r="T107" s="0" t="n">
        <f aca="false">M107</f>
        <v>1272680.34593313</v>
      </c>
      <c r="V107" s="0" t="n">
        <f aca="false">V106+1</f>
        <v>102</v>
      </c>
      <c r="W107" s="0" t="n">
        <v>2071</v>
      </c>
      <c r="X107" s="1" t="n">
        <f aca="false">X106+Y106-Z106-AA106</f>
        <v>2454353940.20858</v>
      </c>
      <c r="Y107" s="1" t="n">
        <f aca="false">X107*$Y$35</f>
        <v>368153091.031287</v>
      </c>
      <c r="Z107" s="1" t="n">
        <f aca="false">Y107*$Z$35</f>
        <v>110445927.309386</v>
      </c>
      <c r="AB107" s="0" t="n">
        <f aca="false">V107</f>
        <v>102</v>
      </c>
      <c r="AC107" s="1" t="n">
        <f aca="false">X107+Q107+H107</f>
        <v>2435571562.85377</v>
      </c>
    </row>
    <row r="108" customFormat="false" ht="15" hidden="false" customHeight="false" outlineLevel="0" collapsed="false">
      <c r="O108" s="1"/>
      <c r="P108" s="1"/>
      <c r="Q108" s="1"/>
    </row>
    <row r="109" customFormat="false" ht="15" hidden="false" customHeight="false" outlineLevel="0" collapsed="false">
      <c r="O109" s="1"/>
      <c r="P109" s="1"/>
      <c r="Q109" s="1"/>
    </row>
    <row r="110" customFormat="false" ht="15" hidden="false" customHeight="false" outlineLevel="0" collapsed="false">
      <c r="O110" s="1"/>
      <c r="P110" s="1"/>
      <c r="Q110" s="1"/>
    </row>
    <row r="111" customFormat="false" ht="15" hidden="false" customHeight="false" outlineLevel="0" collapsed="false">
      <c r="O111" s="1"/>
      <c r="P111" s="1"/>
      <c r="Q111" s="1"/>
    </row>
    <row r="112" customFormat="false" ht="15" hidden="false" customHeight="false" outlineLevel="0" collapsed="false">
      <c r="O112" s="1"/>
      <c r="P112" s="1"/>
      <c r="Q112" s="1"/>
    </row>
    <row r="113" customFormat="false" ht="15" hidden="false" customHeight="false" outlineLevel="0" collapsed="false">
      <c r="O113" s="1"/>
      <c r="P113" s="1"/>
      <c r="Q113" s="1"/>
    </row>
    <row r="114" customFormat="false" ht="15" hidden="false" customHeight="false" outlineLevel="0" collapsed="false">
      <c r="O114" s="1"/>
      <c r="P114" s="1"/>
      <c r="Q114" s="1"/>
    </row>
    <row r="115" customFormat="false" ht="15" hidden="false" customHeight="false" outlineLevel="0" collapsed="false">
      <c r="O115" s="1"/>
      <c r="P115" s="1"/>
      <c r="Q115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205"/>
  <sheetViews>
    <sheetView showFormulas="false" showGridLines="true" showRowColHeaders="true" showZeros="true" rightToLeft="false" tabSelected="false" showOutlineSymbols="true" defaultGridColor="false" view="normal" topLeftCell="K103" colorId="22" zoomScale="87" zoomScaleNormal="87" zoomScalePageLayoutView="100" workbookViewId="0">
      <selection pane="topLeft" activeCell="O125" activeCellId="0" sqref="O125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1" width="10.11"/>
    <col collapsed="false" customWidth="true" hidden="false" outlineLevel="0" max="2" min="2" style="1" width="27.11"/>
    <col collapsed="false" customWidth="true" hidden="false" outlineLevel="0" max="3" min="3" style="1" width="5.21"/>
    <col collapsed="false" customWidth="true" hidden="false" outlineLevel="0" max="4" min="4" style="1" width="10.65"/>
    <col collapsed="false" customWidth="true" hidden="false" outlineLevel="0" max="5" min="5" style="1" width="12.21"/>
    <col collapsed="false" customWidth="true" hidden="false" outlineLevel="0" max="6" min="6" style="19" width="10.77"/>
    <col collapsed="false" customWidth="true" hidden="false" outlineLevel="0" max="8" min="7" style="1" width="15.99"/>
    <col collapsed="false" customWidth="true" hidden="false" outlineLevel="0" max="10" min="9" style="1" width="14.88"/>
    <col collapsed="false" customWidth="true" hidden="false" outlineLevel="0" max="11" min="11" style="1" width="13.44"/>
    <col collapsed="false" customWidth="true" hidden="false" outlineLevel="0" max="12" min="12" style="1" width="21.1"/>
    <col collapsed="false" customWidth="true" hidden="false" outlineLevel="0" max="14" min="13" style="1" width="15.99"/>
    <col collapsed="false" customWidth="true" hidden="false" outlineLevel="0" max="16" min="15" style="1" width="14.88"/>
    <col collapsed="false" customWidth="true" hidden="false" outlineLevel="0" max="17" min="17" style="1" width="13.88"/>
    <col collapsed="false" customWidth="true" hidden="false" outlineLevel="0" max="18" min="18" style="1" width="12.88"/>
    <col collapsed="false" customWidth="false" hidden="false" outlineLevel="0" max="24" min="19" style="1" width="9.77"/>
    <col collapsed="false" customWidth="true" hidden="false" outlineLevel="0" max="25" min="25" style="1" width="5.11"/>
    <col collapsed="false" customWidth="false" hidden="false" outlineLevel="0" max="257" min="26" style="1" width="9.77"/>
  </cols>
  <sheetData>
    <row r="1" customFormat="false" ht="15" hidden="false" customHeight="false" outlineLevel="0" collapsed="false">
      <c r="B1" s="20" t="s">
        <v>73</v>
      </c>
      <c r="C1" s="20"/>
      <c r="D1" s="1" t="n">
        <v>61</v>
      </c>
      <c r="E1" s="21" t="n">
        <f aca="false">M135</f>
        <v>7573575.3386713</v>
      </c>
      <c r="F1" s="22"/>
      <c r="S1" s="23"/>
      <c r="T1" s="23"/>
      <c r="V1" s="23"/>
      <c r="W1" s="23"/>
    </row>
    <row r="2" customFormat="false" ht="15" hidden="false" customHeight="false" outlineLevel="0" collapsed="false">
      <c r="D2" s="1" t="s">
        <v>74</v>
      </c>
      <c r="E2" s="24" t="n">
        <f aca="false">N135</f>
        <v>7661344.63734261</v>
      </c>
    </row>
    <row r="3" customFormat="false" ht="15.75" hidden="false" customHeight="false" outlineLevel="0" collapsed="false">
      <c r="B3" s="25"/>
      <c r="C3" s="25"/>
      <c r="D3" s="20" t="s">
        <v>75</v>
      </c>
      <c r="E3" s="1" t="n">
        <f aca="false">O135</f>
        <v>7739096.26113391</v>
      </c>
      <c r="F3" s="22"/>
      <c r="G3" s="20"/>
      <c r="I3" s="26" t="s">
        <v>76</v>
      </c>
      <c r="J3" s="27" t="s">
        <v>77</v>
      </c>
      <c r="K3" s="28" t="s">
        <v>78</v>
      </c>
      <c r="L3" s="23" t="s">
        <v>79</v>
      </c>
      <c r="Y3" s="1" t="n">
        <f aca="false">V3*80</f>
        <v>0</v>
      </c>
    </row>
    <row r="4" customFormat="false" ht="15.75" hidden="false" customHeight="false" outlineLevel="0" collapsed="false">
      <c r="B4" s="25"/>
      <c r="C4" s="25"/>
      <c r="D4" s="20"/>
      <c r="F4" s="22"/>
      <c r="G4" s="20"/>
      <c r="I4" s="26"/>
      <c r="J4" s="27"/>
      <c r="K4" s="28"/>
      <c r="L4" s="23"/>
    </row>
    <row r="5" customFormat="false" ht="20.25" hidden="false" customHeight="false" outlineLevel="0" collapsed="false">
      <c r="A5" s="3" t="s">
        <v>80</v>
      </c>
      <c r="B5" s="29" t="s">
        <v>81</v>
      </c>
      <c r="C5" s="29"/>
      <c r="D5" s="29"/>
      <c r="E5" s="3"/>
      <c r="F5" s="30"/>
      <c r="G5" s="29" t="s">
        <v>82</v>
      </c>
      <c r="H5" s="3" t="s">
        <v>83</v>
      </c>
      <c r="I5" s="26"/>
      <c r="J5" s="27"/>
      <c r="K5" s="28"/>
      <c r="L5" s="23"/>
    </row>
    <row r="6" customFormat="false" ht="15" hidden="false" customHeight="false" outlineLevel="0" collapsed="false">
      <c r="A6" s="1" t="s">
        <v>84</v>
      </c>
      <c r="B6" s="20" t="s">
        <v>85</v>
      </c>
      <c r="C6" s="20"/>
      <c r="D6" s="20"/>
      <c r="E6" s="20"/>
      <c r="F6" s="22"/>
      <c r="G6" s="20" t="n">
        <v>100000</v>
      </c>
      <c r="H6" s="27" t="n">
        <f aca="false">G6</f>
        <v>100000</v>
      </c>
      <c r="J6" s="1" t="n">
        <f aca="false">H6</f>
        <v>100000</v>
      </c>
    </row>
    <row r="8" customFormat="false" ht="15" hidden="false" customHeight="false" outlineLevel="0" collapsed="false">
      <c r="A8" s="1" t="s">
        <v>86</v>
      </c>
      <c r="B8" s="20" t="s">
        <v>87</v>
      </c>
      <c r="C8" s="20"/>
      <c r="D8" s="20"/>
      <c r="E8" s="20"/>
      <c r="F8" s="22"/>
      <c r="G8" s="20" t="n">
        <v>2883</v>
      </c>
      <c r="H8" s="27" t="n">
        <f aca="false">G8</f>
        <v>2883</v>
      </c>
      <c r="J8" s="1" t="n">
        <f aca="false">H8</f>
        <v>2883</v>
      </c>
    </row>
    <row r="9" customFormat="false" ht="15" hidden="false" customHeight="false" outlineLevel="0" collapsed="false">
      <c r="O9" s="20"/>
    </row>
    <row r="10" customFormat="false" ht="15" hidden="false" customHeight="false" outlineLevel="0" collapsed="false">
      <c r="B10" s="20" t="s">
        <v>88</v>
      </c>
      <c r="C10" s="20"/>
      <c r="D10" s="20"/>
      <c r="E10" s="20"/>
      <c r="F10" s="22"/>
      <c r="G10" s="20" t="n">
        <v>215000</v>
      </c>
    </row>
    <row r="11" customFormat="false" ht="15.75" hidden="false" customHeight="false" outlineLevel="0" collapsed="false">
      <c r="B11" s="20" t="s">
        <v>89</v>
      </c>
      <c r="C11" s="20"/>
      <c r="D11" s="20"/>
      <c r="E11" s="20"/>
      <c r="F11" s="22"/>
      <c r="G11" s="20" t="n">
        <f aca="false">950*$D$1/2</f>
        <v>28975</v>
      </c>
      <c r="Y11" s="31"/>
      <c r="Z11" s="31"/>
    </row>
    <row r="12" customFormat="false" ht="15" hidden="false" customHeight="false" outlineLevel="0" collapsed="false">
      <c r="B12" s="20" t="s">
        <v>90</v>
      </c>
      <c r="C12" s="20"/>
      <c r="D12" s="20"/>
      <c r="E12" s="20"/>
      <c r="F12" s="22"/>
      <c r="G12" s="20" t="n">
        <v>28416</v>
      </c>
      <c r="Y12" s="20"/>
      <c r="Z12" s="20"/>
    </row>
    <row r="13" customFormat="false" ht="15" hidden="false" customHeight="false" outlineLevel="0" collapsed="false">
      <c r="B13" s="20"/>
      <c r="C13" s="20"/>
      <c r="D13" s="20"/>
      <c r="E13" s="20"/>
      <c r="F13" s="22"/>
      <c r="G13" s="20"/>
      <c r="Y13" s="20"/>
      <c r="Z13" s="20"/>
    </row>
    <row r="14" customFormat="false" ht="15" hidden="false" customHeight="false" outlineLevel="0" collapsed="false">
      <c r="B14" s="20" t="s">
        <v>91</v>
      </c>
      <c r="C14" s="20"/>
      <c r="D14" s="20"/>
      <c r="E14" s="20"/>
      <c r="F14" s="22"/>
      <c r="G14" s="20" t="n">
        <f aca="false">SUM(G10:G13)</f>
        <v>272391</v>
      </c>
      <c r="H14" s="26" t="n">
        <f aca="false">G14</f>
        <v>272391</v>
      </c>
      <c r="I14" s="1" t="n">
        <f aca="false">H14</f>
        <v>272391</v>
      </c>
      <c r="Y14" s="20"/>
      <c r="Z14" s="20"/>
    </row>
    <row r="15" customFormat="false" ht="15.75" hidden="false" customHeight="false" outlineLevel="0" collapsed="false">
      <c r="B15" s="20"/>
      <c r="C15" s="20"/>
      <c r="D15" s="25"/>
      <c r="E15" s="20"/>
      <c r="F15" s="22"/>
      <c r="G15" s="20"/>
    </row>
    <row r="16" customFormat="false" ht="15" hidden="false" customHeight="false" outlineLevel="0" collapsed="false">
      <c r="A16" s="20"/>
      <c r="D16" s="20"/>
      <c r="E16" s="20"/>
      <c r="F16" s="22"/>
      <c r="G16" s="20"/>
    </row>
    <row r="17" customFormat="false" ht="15" hidden="false" customHeight="false" outlineLevel="0" collapsed="false">
      <c r="A17" s="20"/>
      <c r="D17" s="20"/>
      <c r="E17" s="20"/>
      <c r="F17" s="22"/>
      <c r="G17" s="20"/>
    </row>
    <row r="18" customFormat="false" ht="15" hidden="false" customHeight="false" outlineLevel="0" collapsed="false">
      <c r="E18" s="20"/>
      <c r="F18" s="22"/>
    </row>
    <row r="19" customFormat="false" ht="15" hidden="false" customHeight="false" outlineLevel="0" collapsed="false">
      <c r="E19" s="20"/>
      <c r="F19" s="22" t="s">
        <v>92</v>
      </c>
    </row>
    <row r="20" customFormat="false" ht="15" hidden="false" customHeight="false" outlineLevel="0" collapsed="false">
      <c r="A20" s="1" t="s">
        <v>93</v>
      </c>
      <c r="B20" s="20"/>
      <c r="C20" s="20"/>
      <c r="D20" s="20"/>
      <c r="E20" s="20" t="s">
        <v>94</v>
      </c>
      <c r="F20" s="22" t="s">
        <v>95</v>
      </c>
      <c r="G20" s="20"/>
    </row>
    <row r="21" customFormat="false" ht="15.75" hidden="false" customHeight="false" outlineLevel="0" collapsed="false">
      <c r="A21" s="3" t="s">
        <v>96</v>
      </c>
      <c r="B21" s="20"/>
      <c r="C21" s="20"/>
      <c r="D21" s="20"/>
      <c r="E21" s="20"/>
      <c r="F21" s="22"/>
      <c r="G21" s="20"/>
      <c r="H21" s="27"/>
      <c r="J21" s="1" t="n">
        <f aca="false">H21</f>
        <v>0</v>
      </c>
    </row>
    <row r="22" customFormat="false" ht="15" hidden="false" customHeight="false" outlineLevel="0" collapsed="false">
      <c r="A22" s="1" t="s">
        <v>97</v>
      </c>
      <c r="B22" s="20" t="s">
        <v>98</v>
      </c>
      <c r="C22" s="20" t="n">
        <v>90</v>
      </c>
      <c r="D22" s="20" t="n">
        <v>-30000</v>
      </c>
      <c r="E22" s="32" t="n">
        <f aca="false">((100*9.9)+11.39+(99*11.29)+(26*6.61)+(74*6.51))/300</f>
        <v>9.24233333333333</v>
      </c>
      <c r="F22" s="22" t="n">
        <f aca="false">IF(($D$1/2-C22)&gt;0,($D$1/2-C22),0)</f>
        <v>0</v>
      </c>
      <c r="G22" s="20" t="n">
        <f aca="false">D22*(F22-E22)</f>
        <v>277270</v>
      </c>
      <c r="H22" s="27" t="n">
        <f aca="false">G22*0.6</f>
        <v>166362</v>
      </c>
      <c r="J22" s="1" t="n">
        <f aca="false">H22</f>
        <v>166362</v>
      </c>
    </row>
    <row r="23" customFormat="false" ht="15" hidden="false" customHeight="false" outlineLevel="0" collapsed="false">
      <c r="A23" s="1" t="s">
        <v>99</v>
      </c>
      <c r="B23" s="20" t="s">
        <v>100</v>
      </c>
      <c r="C23" s="20" t="n">
        <v>60</v>
      </c>
      <c r="D23" s="20" t="n">
        <v>-5000</v>
      </c>
      <c r="E23" s="32" t="n">
        <v>12.02</v>
      </c>
      <c r="F23" s="22" t="n">
        <f aca="false">IF(($D$1/2-C23)&gt;0,($D$1/2-C23),0)</f>
        <v>0</v>
      </c>
      <c r="G23" s="20" t="n">
        <f aca="false">D23*(F23-E23)</f>
        <v>60100</v>
      </c>
      <c r="H23" s="27" t="n">
        <f aca="false">G23*0.6</f>
        <v>36060</v>
      </c>
      <c r="J23" s="1" t="n">
        <f aca="false">H23</f>
        <v>36060</v>
      </c>
    </row>
    <row r="24" customFormat="false" ht="15" hidden="false" customHeight="false" outlineLevel="0" collapsed="false">
      <c r="A24" s="1" t="s">
        <v>101</v>
      </c>
      <c r="B24" s="20" t="s">
        <v>102</v>
      </c>
      <c r="C24" s="20" t="n">
        <v>70</v>
      </c>
      <c r="D24" s="20" t="n">
        <v>-5000</v>
      </c>
      <c r="E24" s="32" t="n">
        <v>6.79</v>
      </c>
      <c r="F24" s="22" t="n">
        <f aca="false">IF(($D$1/2-C24)&gt;0,($D$1/2-C24),0)</f>
        <v>0</v>
      </c>
      <c r="G24" s="20" t="n">
        <f aca="false">D24*(F24-E24)</f>
        <v>33950</v>
      </c>
      <c r="H24" s="27" t="n">
        <f aca="false">G24*0.6</f>
        <v>20370</v>
      </c>
      <c r="J24" s="1" t="n">
        <f aca="false">H24</f>
        <v>20370</v>
      </c>
    </row>
    <row r="25" customFormat="false" ht="15" hidden="false" customHeight="false" outlineLevel="0" collapsed="false">
      <c r="A25" s="1" t="s">
        <v>103</v>
      </c>
      <c r="B25" s="20" t="s">
        <v>102</v>
      </c>
      <c r="C25" s="20" t="n">
        <v>70</v>
      </c>
      <c r="D25" s="1" t="n">
        <v>-10000</v>
      </c>
      <c r="E25" s="33" t="n">
        <v>5.42</v>
      </c>
      <c r="F25" s="22" t="n">
        <f aca="false">IF(($D$1/2-C25)&gt;0,($D$1/2-C25),0)</f>
        <v>0</v>
      </c>
      <c r="G25" s="20" t="n">
        <f aca="false">D25*(F25-E25)</f>
        <v>54200</v>
      </c>
      <c r="H25" s="27" t="n">
        <f aca="false">G25*0.6</f>
        <v>32520</v>
      </c>
      <c r="J25" s="1" t="n">
        <f aca="false">H25</f>
        <v>32520</v>
      </c>
    </row>
    <row r="26" customFormat="false" ht="15" hidden="false" customHeight="false" outlineLevel="0" collapsed="false">
      <c r="A26" s="1" t="s">
        <v>101</v>
      </c>
      <c r="B26" s="20" t="s">
        <v>104</v>
      </c>
      <c r="C26" s="20" t="n">
        <v>80</v>
      </c>
      <c r="D26" s="1" t="n">
        <v>-5000</v>
      </c>
      <c r="E26" s="33" t="n">
        <v>4.11</v>
      </c>
      <c r="F26" s="22" t="n">
        <f aca="false">IF(($D$1/2-C26)&gt;0,($D$1/2-C26),0)</f>
        <v>0</v>
      </c>
      <c r="G26" s="20" t="n">
        <f aca="false">D26*(F26-E26)</f>
        <v>20550</v>
      </c>
      <c r="H26" s="27" t="n">
        <f aca="false">G26*0.6</f>
        <v>12330</v>
      </c>
      <c r="J26" s="1" t="n">
        <f aca="false">H26</f>
        <v>12330</v>
      </c>
    </row>
    <row r="27" customFormat="false" ht="15" hidden="false" customHeight="false" outlineLevel="0" collapsed="false">
      <c r="B27" s="20" t="s">
        <v>105</v>
      </c>
      <c r="C27" s="20" t="n">
        <v>50</v>
      </c>
      <c r="D27" s="1" t="n">
        <v>-5000</v>
      </c>
      <c r="E27" s="33" t="n">
        <v>4.5</v>
      </c>
      <c r="F27" s="22" t="n">
        <f aca="false">IF((C27-$D$1/2)&gt;0,(C27-$D$1/2),0)</f>
        <v>19.5</v>
      </c>
      <c r="G27" s="20" t="n">
        <f aca="false">D27*(F27-E27)</f>
        <v>-75000</v>
      </c>
      <c r="H27" s="27" t="n">
        <f aca="false">G27*0.6</f>
        <v>-45000</v>
      </c>
      <c r="J27" s="1" t="n">
        <f aca="false">H27</f>
        <v>-45000</v>
      </c>
    </row>
    <row r="28" customFormat="false" ht="15" hidden="false" customHeight="false" outlineLevel="0" collapsed="false">
      <c r="A28" s="1" t="s">
        <v>106</v>
      </c>
      <c r="B28" s="20" t="s">
        <v>107</v>
      </c>
      <c r="C28" s="20" t="n">
        <v>50</v>
      </c>
      <c r="D28" s="1" t="n">
        <v>-5000</v>
      </c>
      <c r="E28" s="33" t="n">
        <v>3.41</v>
      </c>
      <c r="F28" s="22" t="n">
        <f aca="false">IF(($D$1/2-C28)&gt;0,($D$1/2-C28),0)</f>
        <v>0</v>
      </c>
      <c r="G28" s="20" t="n">
        <f aca="false">D28*(F28-E28)</f>
        <v>17050</v>
      </c>
      <c r="H28" s="27" t="n">
        <f aca="false">G28*0.6</f>
        <v>10230</v>
      </c>
      <c r="J28" s="1" t="n">
        <f aca="false">H28</f>
        <v>10230</v>
      </c>
    </row>
    <row r="29" customFormat="false" ht="15.75" hidden="false" customHeight="false" outlineLevel="0" collapsed="false">
      <c r="A29" s="3" t="s">
        <v>108</v>
      </c>
      <c r="B29" s="20"/>
      <c r="C29" s="20"/>
      <c r="E29" s="33"/>
      <c r="G29" s="20"/>
      <c r="H29" s="27"/>
    </row>
    <row r="30" customFormat="false" ht="15" hidden="false" customHeight="false" outlineLevel="0" collapsed="false">
      <c r="A30" s="1" t="s">
        <v>109</v>
      </c>
      <c r="B30" s="20" t="s">
        <v>110</v>
      </c>
      <c r="C30" s="20" t="n">
        <v>45</v>
      </c>
      <c r="D30" s="1" t="n">
        <v>-5000</v>
      </c>
      <c r="E30" s="33" t="n">
        <v>13.37</v>
      </c>
      <c r="F30" s="22" t="n">
        <f aca="false">IF(($D$1/2-C30)&gt;0,($D$1/2-C30),0)</f>
        <v>0</v>
      </c>
      <c r="G30" s="20" t="n">
        <f aca="false">D30*(F30-E30)</f>
        <v>66850</v>
      </c>
      <c r="H30" s="27" t="n">
        <f aca="false">G30*0.6</f>
        <v>40110</v>
      </c>
    </row>
    <row r="31" customFormat="false" ht="15" hidden="false" customHeight="false" outlineLevel="0" collapsed="false">
      <c r="A31" s="34" t="n">
        <v>37062</v>
      </c>
      <c r="B31" s="20" t="s">
        <v>111</v>
      </c>
      <c r="C31" s="20" t="n">
        <v>50</v>
      </c>
      <c r="D31" s="1" t="n">
        <v>-10000</v>
      </c>
      <c r="E31" s="33" t="n">
        <v>7.21</v>
      </c>
      <c r="F31" s="22" t="n">
        <f aca="false">IF(($D$1/2-C31)&gt;0,($D$1/2-C31),0)</f>
        <v>0</v>
      </c>
      <c r="G31" s="20" t="n">
        <f aca="false">D31*(F31-E31)</f>
        <v>72100</v>
      </c>
      <c r="H31" s="27" t="n">
        <f aca="false">G31*0.6</f>
        <v>43260</v>
      </c>
    </row>
    <row r="32" customFormat="false" ht="15" hidden="false" customHeight="false" outlineLevel="0" collapsed="false">
      <c r="A32" s="1" t="s">
        <v>109</v>
      </c>
      <c r="B32" s="20" t="s">
        <v>112</v>
      </c>
      <c r="C32" s="20" t="n">
        <v>60</v>
      </c>
      <c r="D32" s="1" t="n">
        <v>-10000</v>
      </c>
      <c r="E32" s="33" t="n">
        <v>7.31</v>
      </c>
      <c r="F32" s="22" t="n">
        <f aca="false">IF(($D$1/2-C32)&gt;0,($D$1/2-C32),0)</f>
        <v>0</v>
      </c>
      <c r="G32" s="20" t="n">
        <f aca="false">D32*(F32-E32)</f>
        <v>73100</v>
      </c>
      <c r="H32" s="27" t="n">
        <f aca="false">G32*0.6</f>
        <v>43860</v>
      </c>
    </row>
    <row r="33" customFormat="false" ht="15" hidden="false" customHeight="false" outlineLevel="0" collapsed="false">
      <c r="A33" s="1" t="s">
        <v>113</v>
      </c>
      <c r="B33" s="20" t="s">
        <v>112</v>
      </c>
      <c r="C33" s="20" t="n">
        <v>60</v>
      </c>
      <c r="D33" s="1" t="n">
        <v>-5000</v>
      </c>
      <c r="E33" s="32" t="n">
        <v>6.39</v>
      </c>
      <c r="F33" s="22" t="n">
        <f aca="false">IF(($D$1/2-C33)&gt;0,($D$1/2-C33),0)</f>
        <v>0</v>
      </c>
      <c r="G33" s="20" t="n">
        <f aca="false">D33*(F33-E33)</f>
        <v>31950</v>
      </c>
      <c r="H33" s="27" t="n">
        <f aca="false">G33*0.6</f>
        <v>19170</v>
      </c>
      <c r="J33" s="1" t="n">
        <f aca="false">H33</f>
        <v>19170</v>
      </c>
    </row>
    <row r="34" customFormat="false" ht="15" hidden="false" customHeight="false" outlineLevel="0" collapsed="false">
      <c r="A34" s="1" t="s">
        <v>113</v>
      </c>
      <c r="B34" s="20" t="s">
        <v>114</v>
      </c>
      <c r="C34" s="20" t="n">
        <v>65</v>
      </c>
      <c r="D34" s="1" t="n">
        <v>-5000</v>
      </c>
      <c r="E34" s="32" t="n">
        <v>5</v>
      </c>
      <c r="F34" s="22" t="n">
        <f aca="false">IF(($D$1/2-C34)&gt;0,($D$1/2-C34),0)</f>
        <v>0</v>
      </c>
      <c r="G34" s="20" t="n">
        <f aca="false">D34*(F34-E34)</f>
        <v>25000</v>
      </c>
      <c r="H34" s="27" t="n">
        <f aca="false">G34*0.6</f>
        <v>15000</v>
      </c>
      <c r="J34" s="1" t="n">
        <f aca="false">H34</f>
        <v>15000</v>
      </c>
    </row>
    <row r="35" customFormat="false" ht="15" hidden="false" customHeight="false" outlineLevel="0" collapsed="false">
      <c r="A35" s="1" t="s">
        <v>115</v>
      </c>
      <c r="B35" s="20" t="s">
        <v>116</v>
      </c>
      <c r="C35" s="20" t="n">
        <v>75</v>
      </c>
      <c r="D35" s="1" t="n">
        <v>-10000</v>
      </c>
      <c r="E35" s="32" t="n">
        <v>4.62</v>
      </c>
      <c r="F35" s="22" t="n">
        <f aca="false">IF(($D$1/2-C35)&gt;0,($D$1/2-C35),0)</f>
        <v>0</v>
      </c>
      <c r="G35" s="20" t="n">
        <f aca="false">D35*(F35-E35)</f>
        <v>46200</v>
      </c>
      <c r="H35" s="27" t="n">
        <f aca="false">G35*0.6</f>
        <v>27720</v>
      </c>
      <c r="J35" s="1" t="n">
        <f aca="false">H35</f>
        <v>27720</v>
      </c>
    </row>
    <row r="36" customFormat="false" ht="15" hidden="false" customHeight="false" outlineLevel="0" collapsed="false">
      <c r="A36" s="1" t="s">
        <v>109</v>
      </c>
      <c r="B36" s="20" t="s">
        <v>116</v>
      </c>
      <c r="C36" s="1" t="n">
        <v>75</v>
      </c>
      <c r="D36" s="1" t="n">
        <v>-10000</v>
      </c>
      <c r="E36" s="33" t="n">
        <v>3.62</v>
      </c>
      <c r="F36" s="22" t="n">
        <f aca="false">IF(($D$1/2-C36)&gt;0,($D$1/2-C36),0)</f>
        <v>0</v>
      </c>
      <c r="G36" s="20" t="n">
        <f aca="false">D36*(F36-E36)</f>
        <v>36200</v>
      </c>
      <c r="H36" s="27" t="n">
        <f aca="false">G36*0.6</f>
        <v>21720</v>
      </c>
    </row>
    <row r="37" customFormat="false" ht="15" hidden="false" customHeight="false" outlineLevel="0" collapsed="false">
      <c r="B37" s="20"/>
      <c r="C37" s="20"/>
      <c r="D37" s="20"/>
      <c r="E37" s="20"/>
      <c r="F37" s="22"/>
      <c r="G37" s="20"/>
      <c r="H37" s="27"/>
      <c r="J37" s="1" t="n">
        <f aca="false">H37</f>
        <v>0</v>
      </c>
    </row>
    <row r="38" customFormat="false" ht="15" hidden="false" customHeight="false" outlineLevel="0" collapsed="false">
      <c r="B38" s="20" t="s">
        <v>117</v>
      </c>
      <c r="C38" s="20"/>
      <c r="D38" s="20"/>
      <c r="F38" s="22"/>
      <c r="G38" s="20" t="n">
        <v>750000</v>
      </c>
      <c r="H38" s="27" t="n">
        <f aca="false">G38</f>
        <v>750000</v>
      </c>
      <c r="J38" s="1" t="n">
        <f aca="false">H38</f>
        <v>750000</v>
      </c>
    </row>
    <row r="39" customFormat="false" ht="15" hidden="false" customHeight="false" outlineLevel="0" collapsed="false">
      <c r="B39" s="20" t="s">
        <v>118</v>
      </c>
      <c r="C39" s="20"/>
      <c r="D39" s="20"/>
      <c r="E39" s="20"/>
      <c r="F39" s="22"/>
      <c r="G39" s="20" t="n">
        <v>400000</v>
      </c>
      <c r="H39" s="27" t="n">
        <f aca="false">G39</f>
        <v>400000</v>
      </c>
      <c r="J39" s="1" t="n">
        <f aca="false">H39</f>
        <v>400000</v>
      </c>
    </row>
    <row r="40" customFormat="false" ht="15" hidden="false" customHeight="false" outlineLevel="0" collapsed="false">
      <c r="B40" s="20"/>
      <c r="C40" s="20"/>
      <c r="D40" s="20"/>
      <c r="E40" s="20"/>
      <c r="F40" s="22"/>
      <c r="G40" s="20"/>
      <c r="H40" s="27"/>
    </row>
    <row r="41" customFormat="false" ht="15" hidden="false" customHeight="false" outlineLevel="0" collapsed="false">
      <c r="B41" s="20" t="s">
        <v>119</v>
      </c>
      <c r="C41" s="20"/>
      <c r="D41" s="20" t="n">
        <v>1557101</v>
      </c>
      <c r="F41" s="22"/>
      <c r="G41" s="20"/>
      <c r="H41" s="27"/>
      <c r="J41" s="1" t="n">
        <f aca="false">H41</f>
        <v>0</v>
      </c>
    </row>
    <row r="42" customFormat="false" ht="15" hidden="false" customHeight="false" outlineLevel="0" collapsed="false">
      <c r="B42" s="20" t="s">
        <v>120</v>
      </c>
      <c r="C42" s="20"/>
      <c r="D42" s="20" t="n">
        <v>260000</v>
      </c>
      <c r="E42" s="20"/>
      <c r="F42" s="22"/>
      <c r="G42" s="20"/>
      <c r="H42" s="27"/>
      <c r="J42" s="1" t="n">
        <f aca="false">H42</f>
        <v>0</v>
      </c>
    </row>
    <row r="43" customFormat="false" ht="15" hidden="false" customHeight="false" outlineLevel="0" collapsed="false">
      <c r="B43" s="20" t="s">
        <v>121</v>
      </c>
      <c r="C43" s="20"/>
      <c r="D43" s="1" t="n">
        <f aca="false">(484000+D42)*0.4</f>
        <v>297600</v>
      </c>
      <c r="G43" s="20"/>
      <c r="H43" s="27"/>
    </row>
    <row r="44" customFormat="false" ht="15" hidden="false" customHeight="false" outlineLevel="0" collapsed="false">
      <c r="B44" s="1" t="s">
        <v>122</v>
      </c>
      <c r="D44" s="1" t="n">
        <f aca="false">D41+D42-D43</f>
        <v>1519501</v>
      </c>
      <c r="G44" s="20"/>
      <c r="H44" s="27"/>
    </row>
    <row r="45" customFormat="false" ht="15" hidden="false" customHeight="false" outlineLevel="0" collapsed="false">
      <c r="B45" s="1" t="s">
        <v>123</v>
      </c>
      <c r="D45" s="1" t="n">
        <f aca="false">D44-SUM(H21:H39)</f>
        <v>-74211</v>
      </c>
    </row>
    <row r="47" customFormat="false" ht="15" hidden="false" customHeight="false" outlineLevel="0" collapsed="false">
      <c r="B47" s="20" t="s">
        <v>124</v>
      </c>
      <c r="C47" s="20"/>
      <c r="G47" s="20" t="n">
        <v>1150000</v>
      </c>
      <c r="H47" s="27" t="n">
        <f aca="false">G47</f>
        <v>1150000</v>
      </c>
    </row>
    <row r="48" customFormat="false" ht="15" hidden="false" customHeight="false" outlineLevel="0" collapsed="false">
      <c r="B48" s="20" t="s">
        <v>125</v>
      </c>
      <c r="C48" s="20"/>
      <c r="G48" s="20" t="n">
        <f aca="false">'2001 cf'!D32</f>
        <v>559722</v>
      </c>
      <c r="H48" s="27" t="n">
        <f aca="false">G48</f>
        <v>559722</v>
      </c>
    </row>
    <row r="49" customFormat="false" ht="15" hidden="false" customHeight="false" outlineLevel="0" collapsed="false">
      <c r="B49" s="20"/>
      <c r="C49" s="20"/>
      <c r="G49" s="20"/>
      <c r="H49" s="27"/>
      <c r="J49" s="1" t="n">
        <f aca="false">H49</f>
        <v>0</v>
      </c>
    </row>
    <row r="50" customFormat="false" ht="15" hidden="false" customHeight="false" outlineLevel="0" collapsed="false">
      <c r="B50" s="20"/>
      <c r="C50" s="20"/>
      <c r="G50" s="20"/>
      <c r="H50" s="27"/>
    </row>
    <row r="51" customFormat="false" ht="15.75" hidden="false" customHeight="false" outlineLevel="0" collapsed="false">
      <c r="B51" s="25"/>
      <c r="C51" s="25"/>
      <c r="D51" s="20"/>
      <c r="E51" s="20"/>
      <c r="F51" s="22"/>
      <c r="G51" s="20"/>
    </row>
    <row r="52" customFormat="false" ht="15" hidden="false" customHeight="false" outlineLevel="0" collapsed="false">
      <c r="A52" s="1" t="s">
        <v>86</v>
      </c>
      <c r="B52" s="20" t="s">
        <v>126</v>
      </c>
      <c r="C52" s="20"/>
      <c r="D52" s="20"/>
      <c r="E52" s="20"/>
      <c r="F52" s="22" t="n">
        <v>8000</v>
      </c>
      <c r="G52" s="20" t="n">
        <v>8000</v>
      </c>
      <c r="H52" s="26" t="n">
        <f aca="false">G52</f>
        <v>8000</v>
      </c>
      <c r="I52" s="1" t="n">
        <f aca="false">H52</f>
        <v>8000</v>
      </c>
    </row>
    <row r="54" customFormat="false" ht="15.75" hidden="false" customHeight="false" outlineLevel="0" collapsed="false">
      <c r="A54" s="1" t="s">
        <v>86</v>
      </c>
      <c r="B54" s="25" t="s">
        <v>127</v>
      </c>
      <c r="C54" s="25"/>
      <c r="D54" s="20"/>
      <c r="E54" s="20"/>
      <c r="F54" s="22"/>
      <c r="G54" s="20"/>
    </row>
    <row r="56" customFormat="false" ht="15.75" hidden="false" customHeight="false" outlineLevel="0" collapsed="false">
      <c r="A56" s="1" t="s">
        <v>86</v>
      </c>
      <c r="B56" s="25" t="s">
        <v>128</v>
      </c>
      <c r="C56" s="25"/>
      <c r="D56" s="20"/>
      <c r="E56" s="20"/>
      <c r="F56" s="22"/>
      <c r="G56" s="20"/>
    </row>
    <row r="57" customFormat="false" ht="15.75" hidden="false" customHeight="false" outlineLevel="0" collapsed="false">
      <c r="A57" s="25"/>
      <c r="B57" s="25" t="s">
        <v>129</v>
      </c>
      <c r="C57" s="25"/>
      <c r="D57" s="20"/>
      <c r="E57" s="20"/>
      <c r="F57" s="22" t="n">
        <v>605000</v>
      </c>
      <c r="G57" s="20"/>
    </row>
    <row r="58" customFormat="false" ht="15" hidden="false" customHeight="false" outlineLevel="0" collapsed="false">
      <c r="B58" s="20" t="s">
        <v>130</v>
      </c>
      <c r="C58" s="20"/>
      <c r="D58" s="20"/>
      <c r="E58" s="20"/>
      <c r="F58" s="22" t="n">
        <v>100000</v>
      </c>
      <c r="G58" s="20"/>
    </row>
    <row r="59" customFormat="false" ht="15" hidden="false" customHeight="false" outlineLevel="0" collapsed="false">
      <c r="A59" s="20"/>
      <c r="B59" s="20" t="s">
        <v>131</v>
      </c>
      <c r="C59" s="20"/>
      <c r="D59" s="20"/>
      <c r="E59" s="20"/>
      <c r="F59" s="22" t="n">
        <f aca="false">+(400000+F58)*-0.4</f>
        <v>-200000</v>
      </c>
    </row>
    <row r="60" customFormat="false" ht="15" hidden="false" customHeight="false" outlineLevel="0" collapsed="false">
      <c r="A60" s="20"/>
      <c r="B60" s="20"/>
      <c r="C60" s="20"/>
      <c r="D60" s="20"/>
      <c r="E60" s="20"/>
      <c r="F60" s="22"/>
    </row>
    <row r="61" customFormat="false" ht="15" hidden="false" customHeight="false" outlineLevel="0" collapsed="false">
      <c r="B61" s="20" t="s">
        <v>132</v>
      </c>
      <c r="C61" s="20"/>
      <c r="D61" s="20"/>
      <c r="E61" s="20"/>
      <c r="F61" s="22"/>
      <c r="G61" s="20" t="n">
        <f aca="false">SUM(F57:F59)</f>
        <v>505000</v>
      </c>
      <c r="H61" s="28" t="n">
        <f aca="false">G61</f>
        <v>505000</v>
      </c>
      <c r="K61" s="1" t="n">
        <f aca="false">H61</f>
        <v>505000</v>
      </c>
    </row>
    <row r="63" customFormat="false" ht="15" hidden="false" customHeight="false" outlineLevel="0" collapsed="false">
      <c r="B63" s="20" t="s">
        <v>133</v>
      </c>
      <c r="C63" s="20"/>
      <c r="D63" s="20"/>
      <c r="E63" s="20"/>
      <c r="F63" s="22"/>
      <c r="G63" s="20"/>
    </row>
    <row r="64" customFormat="false" ht="15" hidden="false" customHeight="false" outlineLevel="0" collapsed="false">
      <c r="A64" s="1" t="s">
        <v>86</v>
      </c>
      <c r="B64" s="20" t="s">
        <v>134</v>
      </c>
      <c r="C64" s="20"/>
      <c r="D64" s="20"/>
      <c r="E64" s="20"/>
      <c r="F64" s="22"/>
      <c r="G64" s="20"/>
    </row>
    <row r="65" customFormat="false" ht="15" hidden="false" customHeight="false" outlineLevel="0" collapsed="false">
      <c r="B65" s="20" t="s">
        <v>135</v>
      </c>
      <c r="C65" s="20"/>
      <c r="D65" s="20"/>
      <c r="E65" s="20" t="n">
        <v>400</v>
      </c>
      <c r="F65" s="35" t="n">
        <f aca="false">E65*E143</f>
        <v>18000</v>
      </c>
      <c r="G65" s="20"/>
    </row>
    <row r="66" customFormat="false" ht="15" hidden="false" customHeight="false" outlineLevel="0" collapsed="false">
      <c r="B66" s="20" t="s">
        <v>136</v>
      </c>
      <c r="C66" s="20"/>
      <c r="D66" s="20"/>
      <c r="E66" s="20" t="n">
        <v>210</v>
      </c>
      <c r="F66" s="35" t="n">
        <f aca="false">E66*E141</f>
        <v>27930</v>
      </c>
      <c r="G66" s="20"/>
    </row>
    <row r="67" customFormat="false" ht="15" hidden="false" customHeight="false" outlineLevel="0" collapsed="false">
      <c r="B67" s="20" t="s">
        <v>137</v>
      </c>
      <c r="C67" s="20"/>
      <c r="D67" s="20"/>
      <c r="E67" s="20"/>
      <c r="F67" s="22" t="n">
        <v>2000</v>
      </c>
      <c r="G67" s="20"/>
    </row>
    <row r="68" customFormat="false" ht="15" hidden="false" customHeight="false" outlineLevel="0" collapsed="false">
      <c r="B68" s="20" t="s">
        <v>138</v>
      </c>
      <c r="C68" s="20"/>
      <c r="D68" s="20"/>
      <c r="E68" s="20"/>
      <c r="F68" s="22"/>
      <c r="G68" s="20"/>
    </row>
    <row r="69" customFormat="false" ht="15" hidden="false" customHeight="false" outlineLevel="0" collapsed="false">
      <c r="A69" s="1" t="s">
        <v>139</v>
      </c>
      <c r="B69" s="20" t="s">
        <v>140</v>
      </c>
      <c r="C69" s="20"/>
      <c r="D69" s="20"/>
      <c r="E69" s="20" t="n">
        <v>284</v>
      </c>
      <c r="F69" s="35" t="n">
        <f aca="false">E69*E142</f>
        <v>18460</v>
      </c>
      <c r="G69" s="20"/>
    </row>
    <row r="70" customFormat="false" ht="15" hidden="false" customHeight="false" outlineLevel="0" collapsed="false">
      <c r="B70" s="20"/>
      <c r="C70" s="20"/>
      <c r="D70" s="20"/>
      <c r="E70" s="20"/>
      <c r="F70" s="22" t="n">
        <v>3000</v>
      </c>
      <c r="G70" s="20" t="n">
        <f aca="false">SUM(F65:F70)</f>
        <v>69390</v>
      </c>
      <c r="H70" s="26" t="n">
        <f aca="false">G70</f>
        <v>69390</v>
      </c>
      <c r="I70" s="1" t="n">
        <f aca="false">H70</f>
        <v>69390</v>
      </c>
    </row>
    <row r="71" customFormat="false" ht="15" hidden="false" customHeight="false" outlineLevel="0" collapsed="false">
      <c r="D71" s="20"/>
      <c r="E71" s="20"/>
      <c r="F71" s="22"/>
      <c r="G71" s="20"/>
    </row>
    <row r="72" customFormat="false" ht="15" hidden="false" customHeight="false" outlineLevel="0" collapsed="false">
      <c r="B72" s="20"/>
      <c r="C72" s="20"/>
      <c r="D72" s="20"/>
      <c r="E72" s="20"/>
      <c r="F72" s="22"/>
      <c r="G72" s="20"/>
    </row>
    <row r="74" customFormat="false" ht="15" hidden="false" customHeight="false" outlineLevel="0" collapsed="false">
      <c r="B74" s="20" t="s">
        <v>141</v>
      </c>
      <c r="C74" s="20"/>
      <c r="D74" s="20"/>
      <c r="E74" s="20"/>
      <c r="F74" s="22"/>
      <c r="G74" s="20"/>
    </row>
    <row r="75" customFormat="false" ht="15" hidden="false" customHeight="false" outlineLevel="0" collapsed="false">
      <c r="A75" s="1" t="s">
        <v>142</v>
      </c>
      <c r="B75" s="20" t="s">
        <v>143</v>
      </c>
      <c r="C75" s="20"/>
      <c r="D75" s="20"/>
      <c r="E75" s="20"/>
      <c r="F75" s="22" t="n">
        <v>36730</v>
      </c>
      <c r="G75" s="20"/>
    </row>
    <row r="76" customFormat="false" ht="15" hidden="false" customHeight="false" outlineLevel="0" collapsed="false">
      <c r="A76" s="1" t="s">
        <v>142</v>
      </c>
      <c r="B76" s="20" t="s">
        <v>144</v>
      </c>
      <c r="C76" s="20"/>
      <c r="D76" s="20"/>
      <c r="E76" s="20"/>
      <c r="F76" s="35" t="n">
        <v>32306</v>
      </c>
      <c r="G76" s="20"/>
    </row>
    <row r="77" customFormat="false" ht="15" hidden="false" customHeight="false" outlineLevel="0" collapsed="false">
      <c r="B77" s="20" t="s">
        <v>145</v>
      </c>
      <c r="C77" s="20"/>
      <c r="D77" s="20"/>
      <c r="E77" s="20"/>
      <c r="F77" s="22"/>
      <c r="G77" s="20" t="n">
        <f aca="false">SUM(F75:F76)</f>
        <v>69036</v>
      </c>
      <c r="H77" s="28" t="n">
        <f aca="false">G77</f>
        <v>69036</v>
      </c>
      <c r="K77" s="1" t="n">
        <f aca="false">H77</f>
        <v>69036</v>
      </c>
    </row>
    <row r="79" customFormat="false" ht="15" hidden="false" customHeight="false" outlineLevel="0" collapsed="false">
      <c r="A79" s="1" t="s">
        <v>86</v>
      </c>
      <c r="B79" s="20" t="s">
        <v>146</v>
      </c>
      <c r="C79" s="20"/>
      <c r="D79" s="20"/>
      <c r="E79" s="20"/>
      <c r="F79" s="22"/>
      <c r="G79" s="20" t="n">
        <v>12068.73</v>
      </c>
      <c r="H79" s="26" t="n">
        <f aca="false">G79</f>
        <v>12068.73</v>
      </c>
      <c r="I79" s="1" t="n">
        <f aca="false">H79</f>
        <v>12068.73</v>
      </c>
    </row>
    <row r="81" customFormat="false" ht="15" hidden="false" customHeight="false" outlineLevel="0" collapsed="false">
      <c r="A81" s="1" t="s">
        <v>86</v>
      </c>
      <c r="B81" s="20" t="s">
        <v>147</v>
      </c>
      <c r="C81" s="20"/>
      <c r="D81" s="20"/>
      <c r="E81" s="20"/>
      <c r="F81" s="22"/>
      <c r="G81" s="20"/>
    </row>
    <row r="82" customFormat="false" ht="15" hidden="false" customHeight="false" outlineLevel="0" collapsed="false">
      <c r="B82" s="20" t="s">
        <v>148</v>
      </c>
      <c r="C82" s="20"/>
      <c r="D82" s="20"/>
      <c r="E82" s="20"/>
      <c r="F82" s="22" t="n">
        <v>13500</v>
      </c>
      <c r="G82" s="20"/>
    </row>
    <row r="83" customFormat="false" ht="15" hidden="false" customHeight="false" outlineLevel="0" collapsed="false">
      <c r="B83" s="20" t="s">
        <v>149</v>
      </c>
      <c r="C83" s="20"/>
      <c r="D83" s="20"/>
      <c r="E83" s="20"/>
      <c r="F83" s="22" t="n">
        <v>11611.05</v>
      </c>
      <c r="G83" s="20"/>
    </row>
    <row r="84" customFormat="false" ht="15" hidden="false" customHeight="false" outlineLevel="0" collapsed="false">
      <c r="B84" s="20" t="s">
        <v>150</v>
      </c>
      <c r="C84" s="20"/>
      <c r="D84" s="20"/>
      <c r="E84" s="20"/>
      <c r="F84" s="35" t="n">
        <v>10362.18</v>
      </c>
      <c r="G84" s="20"/>
    </row>
    <row r="85" customFormat="false" ht="15" hidden="false" customHeight="false" outlineLevel="0" collapsed="false">
      <c r="B85" s="20" t="s">
        <v>151</v>
      </c>
      <c r="C85" s="20"/>
      <c r="D85" s="20"/>
      <c r="E85" s="20"/>
      <c r="F85" s="22"/>
      <c r="G85" s="20" t="n">
        <f aca="false">SUM(F82:F84)</f>
        <v>35473.23</v>
      </c>
      <c r="H85" s="26" t="n">
        <f aca="false">G85</f>
        <v>35473.23</v>
      </c>
      <c r="I85" s="1" t="n">
        <f aca="false">H85</f>
        <v>35473.23</v>
      </c>
    </row>
    <row r="88" customFormat="false" ht="15" hidden="false" customHeight="false" outlineLevel="0" collapsed="false">
      <c r="B88" s="20" t="s">
        <v>152</v>
      </c>
      <c r="C88" s="20"/>
      <c r="D88" s="20"/>
      <c r="E88" s="20"/>
      <c r="F88" s="22"/>
      <c r="G88" s="20"/>
    </row>
    <row r="89" customFormat="false" ht="15" hidden="false" customHeight="false" outlineLevel="0" collapsed="false">
      <c r="B89" s="20" t="s">
        <v>153</v>
      </c>
      <c r="C89" s="20"/>
      <c r="D89" s="20"/>
      <c r="E89" s="20"/>
      <c r="F89" s="22" t="n">
        <v>541.8</v>
      </c>
      <c r="G89" s="20"/>
    </row>
    <row r="90" customFormat="false" ht="15" hidden="false" customHeight="false" outlineLevel="0" collapsed="false">
      <c r="B90" s="20" t="s">
        <v>154</v>
      </c>
      <c r="C90" s="20"/>
      <c r="D90" s="20"/>
      <c r="E90" s="20"/>
      <c r="F90" s="22" t="n">
        <v>653.8</v>
      </c>
      <c r="G90" s="20"/>
    </row>
    <row r="91" customFormat="false" ht="15" hidden="false" customHeight="false" outlineLevel="0" collapsed="false">
      <c r="B91" s="20" t="s">
        <v>155</v>
      </c>
      <c r="C91" s="20"/>
      <c r="D91" s="20"/>
      <c r="E91" s="20"/>
      <c r="F91" s="35" t="n">
        <v>44.08</v>
      </c>
      <c r="G91" s="20"/>
    </row>
    <row r="92" customFormat="false" ht="15" hidden="false" customHeight="false" outlineLevel="0" collapsed="false">
      <c r="B92" s="20" t="s">
        <v>156</v>
      </c>
      <c r="C92" s="20"/>
      <c r="D92" s="20"/>
      <c r="E92" s="20"/>
      <c r="F92" s="22"/>
      <c r="G92" s="20" t="n">
        <f aca="false">SUM(F89:F91)</f>
        <v>1239.68</v>
      </c>
      <c r="H92" s="26" t="n">
        <f aca="false">G92</f>
        <v>1239.68</v>
      </c>
      <c r="I92" s="1" t="n">
        <f aca="false">H92</f>
        <v>1239.68</v>
      </c>
    </row>
    <row r="94" customFormat="false" ht="15" hidden="false" customHeight="false" outlineLevel="0" collapsed="false">
      <c r="B94" s="20" t="s">
        <v>157</v>
      </c>
      <c r="C94" s="20"/>
      <c r="D94" s="20"/>
      <c r="E94" s="20"/>
      <c r="F94" s="22"/>
      <c r="G94" s="20"/>
    </row>
    <row r="95" customFormat="false" ht="15" hidden="false" customHeight="false" outlineLevel="0" collapsed="false">
      <c r="B95" s="20" t="s">
        <v>158</v>
      </c>
      <c r="C95" s="20"/>
      <c r="D95" s="20" t="n">
        <v>1736</v>
      </c>
      <c r="E95" s="20" t="n">
        <v>1</v>
      </c>
      <c r="F95" s="22" t="n">
        <f aca="false">$D$1/2</f>
        <v>30.5</v>
      </c>
      <c r="G95" s="20" t="n">
        <f aca="false">D95*E95*F95</f>
        <v>52948</v>
      </c>
      <c r="H95" s="26" t="n">
        <f aca="false">G95*0.6</f>
        <v>31768.8</v>
      </c>
      <c r="J95" s="1" t="n">
        <f aca="false">H95</f>
        <v>31768.8</v>
      </c>
    </row>
    <row r="96" customFormat="false" ht="15" hidden="false" customHeight="false" outlineLevel="0" collapsed="false">
      <c r="B96" s="20" t="s">
        <v>159</v>
      </c>
      <c r="C96" s="20"/>
      <c r="D96" s="20" t="n">
        <v>1390</v>
      </c>
      <c r="E96" s="20" t="n">
        <v>1</v>
      </c>
      <c r="F96" s="22" t="n">
        <f aca="false">D1/2</f>
        <v>30.5</v>
      </c>
      <c r="G96" s="20" t="n">
        <f aca="false">D96*E96*F96</f>
        <v>42395</v>
      </c>
      <c r="H96" s="26" t="n">
        <f aca="false">G96*0.6</f>
        <v>25437</v>
      </c>
      <c r="J96" s="1" t="n">
        <f aca="false">H96</f>
        <v>25437</v>
      </c>
    </row>
    <row r="97" customFormat="false" ht="15" hidden="false" customHeight="false" outlineLevel="0" collapsed="false">
      <c r="B97" s="20" t="s">
        <v>160</v>
      </c>
      <c r="C97" s="20"/>
      <c r="D97" s="20" t="n">
        <v>5920</v>
      </c>
      <c r="E97" s="20" t="n">
        <v>1</v>
      </c>
      <c r="F97" s="22" t="n">
        <f aca="false">F96</f>
        <v>30.5</v>
      </c>
      <c r="G97" s="20" t="n">
        <f aca="false">D97*E97*F97</f>
        <v>180560</v>
      </c>
      <c r="H97" s="26" t="n">
        <f aca="false">G97*0.6</f>
        <v>108336</v>
      </c>
      <c r="J97" s="1" t="n">
        <f aca="false">H97</f>
        <v>108336</v>
      </c>
    </row>
    <row r="101" customFormat="false" ht="15" hidden="false" customHeight="false" outlineLevel="0" collapsed="false">
      <c r="D101" s="20"/>
    </row>
    <row r="102" customFormat="false" ht="15" hidden="false" customHeight="false" outlineLevel="0" collapsed="false">
      <c r="B102" s="20"/>
      <c r="C102" s="20"/>
      <c r="D102" s="20"/>
      <c r="E102" s="20"/>
      <c r="F102" s="22"/>
      <c r="G102" s="20"/>
    </row>
    <row r="105" customFormat="false" ht="15" hidden="false" customHeight="false" outlineLevel="0" collapsed="false">
      <c r="A105" s="1" t="s">
        <v>142</v>
      </c>
      <c r="B105" s="1" t="s">
        <v>161</v>
      </c>
      <c r="G105" s="1" t="n">
        <v>3600000</v>
      </c>
      <c r="H105" s="26" t="n">
        <f aca="false">G105*0.7</f>
        <v>2520000</v>
      </c>
      <c r="I105" s="1" t="n">
        <f aca="false">H105*0.65</f>
        <v>1638000</v>
      </c>
      <c r="J105" s="1" t="n">
        <f aca="false">H105*0.35</f>
        <v>882000</v>
      </c>
    </row>
    <row r="106" customFormat="false" ht="15" hidden="false" customHeight="false" outlineLevel="0" collapsed="false">
      <c r="H106" s="26"/>
    </row>
    <row r="107" customFormat="false" ht="15" hidden="false" customHeight="false" outlineLevel="0" collapsed="false">
      <c r="A107" s="1" t="s">
        <v>162</v>
      </c>
      <c r="G107" s="1" t="n">
        <v>190000</v>
      </c>
      <c r="H107" s="27" t="n">
        <f aca="false">G107</f>
        <v>190000</v>
      </c>
      <c r="J107" s="1" t="n">
        <f aca="false">H107</f>
        <v>190000</v>
      </c>
    </row>
    <row r="111" customFormat="false" ht="15" hidden="false" customHeight="false" outlineLevel="0" collapsed="false">
      <c r="B111" s="20" t="s">
        <v>163</v>
      </c>
      <c r="C111" s="20"/>
      <c r="D111" s="20"/>
      <c r="E111" s="20"/>
      <c r="F111" s="22"/>
      <c r="G111" s="36" t="n">
        <f aca="false">SUM(G2:G110)</f>
        <v>9013017.64</v>
      </c>
      <c r="H111" s="24" t="n">
        <f aca="false">SUM(H2:H110)</f>
        <v>7254457.44</v>
      </c>
      <c r="I111" s="26" t="n">
        <f aca="false">SUM(I2:I110)</f>
        <v>2036562.64</v>
      </c>
      <c r="J111" s="27" t="n">
        <f aca="false">SUM(J2:J110)</f>
        <v>2785186.8</v>
      </c>
      <c r="K111" s="28" t="n">
        <f aca="false">SUM(K2:K110)</f>
        <v>574036</v>
      </c>
    </row>
    <row r="112" customFormat="false" ht="15" hidden="false" customHeight="false" outlineLevel="0" collapsed="false">
      <c r="B112" s="20"/>
      <c r="C112" s="20"/>
      <c r="D112" s="20"/>
      <c r="E112" s="20"/>
      <c r="F112" s="22"/>
      <c r="G112" s="36"/>
      <c r="H112" s="24" t="s">
        <v>164</v>
      </c>
      <c r="I112" s="26"/>
      <c r="J112" s="27"/>
      <c r="K112" s="28"/>
      <c r="L112" s="23" t="n">
        <f aca="false">M132</f>
        <v>319117.898671304</v>
      </c>
    </row>
    <row r="113" customFormat="false" ht="15" hidden="false" customHeight="false" outlineLevel="0" collapsed="false">
      <c r="B113" s="20"/>
      <c r="C113" s="20"/>
      <c r="D113" s="20"/>
      <c r="E113" s="20"/>
      <c r="F113" s="22"/>
      <c r="G113" s="36"/>
      <c r="H113" s="24" t="s">
        <v>165</v>
      </c>
      <c r="I113" s="26" t="n">
        <f aca="false">SUM(I111:I112)</f>
        <v>2036562.64</v>
      </c>
      <c r="J113" s="27" t="n">
        <f aca="false">SUM(J111:J112)</f>
        <v>2785186.8</v>
      </c>
      <c r="K113" s="28" t="n">
        <f aca="false">SUM(K111:K112)</f>
        <v>574036</v>
      </c>
      <c r="L113" s="23" t="n">
        <f aca="false">SUM(L111:L112)</f>
        <v>319117.898671304</v>
      </c>
    </row>
    <row r="115" customFormat="false" ht="15" hidden="false" customHeight="false" outlineLevel="0" collapsed="false">
      <c r="I115" s="6"/>
      <c r="J115" s="6"/>
      <c r="K115" s="6"/>
      <c r="L115" s="37"/>
      <c r="M115" s="37" t="s">
        <v>166</v>
      </c>
      <c r="N115" s="37" t="s">
        <v>167</v>
      </c>
      <c r="O115" s="37" t="s">
        <v>168</v>
      </c>
      <c r="P115" s="37" t="s">
        <v>169</v>
      </c>
    </row>
    <row r="116" customFormat="false" ht="15" hidden="false" customHeight="false" outlineLevel="0" collapsed="false">
      <c r="B116" s="20" t="s">
        <v>170</v>
      </c>
      <c r="C116" s="20"/>
      <c r="D116" s="20"/>
      <c r="E116" s="20"/>
      <c r="F116" s="22"/>
      <c r="G116" s="20" t="n">
        <v>30000</v>
      </c>
      <c r="M116" s="1" t="n">
        <f aca="false">G116*0.6</f>
        <v>18000</v>
      </c>
    </row>
    <row r="117" customFormat="false" ht="15" hidden="false" customHeight="false" outlineLevel="0" collapsed="false">
      <c r="B117" s="20" t="s">
        <v>171</v>
      </c>
      <c r="C117" s="20"/>
      <c r="D117" s="20"/>
      <c r="E117" s="20"/>
      <c r="F117" s="22"/>
      <c r="G117" s="20" t="n">
        <v>300000</v>
      </c>
      <c r="M117" s="1" t="n">
        <f aca="false">G117*0.6</f>
        <v>180000</v>
      </c>
    </row>
    <row r="118" customFormat="false" ht="15" hidden="false" customHeight="false" outlineLevel="0" collapsed="false">
      <c r="B118" s="20"/>
      <c r="C118" s="20"/>
      <c r="D118" s="20"/>
      <c r="E118" s="20"/>
      <c r="F118" s="22"/>
      <c r="G118" s="20"/>
    </row>
    <row r="119" customFormat="false" ht="15" hidden="false" customHeight="false" outlineLevel="0" collapsed="false">
      <c r="B119" s="20" t="s">
        <v>172</v>
      </c>
      <c r="C119" s="20"/>
      <c r="D119" s="38" t="n">
        <v>4584</v>
      </c>
      <c r="E119" s="20"/>
      <c r="F119" s="22" t="n">
        <f aca="false">$D$1/2-18.375</f>
        <v>12.125</v>
      </c>
      <c r="G119" s="20" t="n">
        <f aca="false">D119*F119</f>
        <v>55581</v>
      </c>
      <c r="M119" s="1" t="n">
        <f aca="false">G119*0.6</f>
        <v>33348.6</v>
      </c>
    </row>
    <row r="120" customFormat="false" ht="15" hidden="false" customHeight="false" outlineLevel="0" collapsed="false">
      <c r="B120" s="20" t="s">
        <v>173</v>
      </c>
      <c r="C120" s="20"/>
      <c r="D120" s="38" t="n">
        <v>1600</v>
      </c>
      <c r="E120" s="20"/>
      <c r="F120" s="22" t="n">
        <f aca="false">$D$1/2-20.0625</f>
        <v>10.4375</v>
      </c>
      <c r="G120" s="20" t="n">
        <f aca="false">D120*F120</f>
        <v>16700</v>
      </c>
      <c r="M120" s="1" t="n">
        <f aca="false">G120*0.6</f>
        <v>10020</v>
      </c>
    </row>
    <row r="121" customFormat="false" ht="15" hidden="false" customHeight="false" outlineLevel="0" collapsed="false">
      <c r="B121" s="20" t="s">
        <v>174</v>
      </c>
      <c r="C121" s="20"/>
      <c r="D121" s="38" t="n">
        <v>1600</v>
      </c>
      <c r="E121" s="20"/>
      <c r="F121" s="22" t="n">
        <f aca="false">$D$1/2-20.0625</f>
        <v>10.4375</v>
      </c>
      <c r="G121" s="20" t="n">
        <f aca="false">D121*F121</f>
        <v>16700</v>
      </c>
      <c r="N121" s="1" t="n">
        <f aca="false">G121*0.6</f>
        <v>10020</v>
      </c>
    </row>
    <row r="122" customFormat="false" ht="15" hidden="false" customHeight="false" outlineLevel="0" collapsed="false">
      <c r="B122" s="20" t="s">
        <v>175</v>
      </c>
      <c r="C122" s="20"/>
      <c r="D122" s="38" t="n">
        <v>3124</v>
      </c>
      <c r="E122" s="20"/>
      <c r="F122" s="22" t="n">
        <f aca="false">$D$1/2-31.4688</f>
        <v>-0.968800000000002</v>
      </c>
      <c r="G122" s="20" t="n">
        <f aca="false">D122*F122</f>
        <v>-3026.53120000001</v>
      </c>
      <c r="M122" s="1" t="n">
        <f aca="false">G122*0.6</f>
        <v>-1815.91872</v>
      </c>
    </row>
    <row r="123" customFormat="false" ht="15" hidden="false" customHeight="false" outlineLevel="0" collapsed="false">
      <c r="B123" s="20" t="s">
        <v>176</v>
      </c>
      <c r="C123" s="20"/>
      <c r="D123" s="38" t="n">
        <v>3124</v>
      </c>
      <c r="E123" s="20"/>
      <c r="F123" s="22" t="n">
        <f aca="false">$D$1/2-31.4688</f>
        <v>-0.968800000000002</v>
      </c>
      <c r="G123" s="20" t="n">
        <f aca="false">D123*F123</f>
        <v>-3026.53120000001</v>
      </c>
      <c r="N123" s="1" t="n">
        <f aca="false">G123*0.6</f>
        <v>-1815.91872</v>
      </c>
    </row>
    <row r="124" customFormat="false" ht="15" hidden="false" customHeight="false" outlineLevel="0" collapsed="false">
      <c r="B124" s="20" t="s">
        <v>177</v>
      </c>
      <c r="C124" s="20"/>
      <c r="D124" s="38" t="n">
        <v>3120</v>
      </c>
      <c r="E124" s="20"/>
      <c r="F124" s="22" t="n">
        <f aca="false">$D$1/2-31.4688</f>
        <v>-0.968800000000002</v>
      </c>
      <c r="G124" s="20" t="n">
        <f aca="false">D124*F124</f>
        <v>-3022.65600000001</v>
      </c>
      <c r="O124" s="1" t="n">
        <f aca="false">G124*0.6</f>
        <v>-1813.5936</v>
      </c>
    </row>
    <row r="125" customFormat="false" ht="15.75" hidden="false" customHeight="true" outlineLevel="0" collapsed="false">
      <c r="A125" s="1" t="n">
        <f aca="false">D125*13*0.6</f>
        <v>40216.8</v>
      </c>
      <c r="B125" s="20" t="s">
        <v>178</v>
      </c>
      <c r="C125" s="20"/>
      <c r="D125" s="39" t="n">
        <v>5156</v>
      </c>
      <c r="E125" s="1" t="n">
        <v>0.5</v>
      </c>
      <c r="F125" s="19" t="n">
        <f aca="false">IF(D1-111&lt;0,0,D1-111)</f>
        <v>0</v>
      </c>
      <c r="G125" s="20" t="n">
        <f aca="false">D125*E125*F125</f>
        <v>0</v>
      </c>
      <c r="M125" s="1" t="n">
        <f aca="false">$D$125*0.2*$F$125*0.6</f>
        <v>0</v>
      </c>
      <c r="N125" s="1" t="n">
        <f aca="false">$D$125*0.2*$F$125*0.6</f>
        <v>0</v>
      </c>
    </row>
    <row r="126" customFormat="false" ht="15.75" hidden="false" customHeight="true" outlineLevel="0" collapsed="false">
      <c r="B126" s="20" t="s">
        <v>179</v>
      </c>
      <c r="C126" s="20"/>
      <c r="D126" s="39" t="n">
        <v>7143</v>
      </c>
      <c r="E126" s="1" t="n">
        <v>1</v>
      </c>
      <c r="F126" s="19" t="n">
        <f aca="false">IF(((D1/2)-76)&lt;0,0,(D1/2-76))</f>
        <v>0</v>
      </c>
      <c r="G126" s="20" t="n">
        <f aca="false">D126*E126*F126</f>
        <v>0</v>
      </c>
      <c r="M126" s="1" t="n">
        <f aca="false">$G$126*0.33*0.6</f>
        <v>0</v>
      </c>
      <c r="N126" s="1" t="n">
        <f aca="false">$G$126*0.33*0.6</f>
        <v>0</v>
      </c>
      <c r="O126" s="1" t="n">
        <f aca="false">$G$126*0.33*0.6</f>
        <v>0</v>
      </c>
    </row>
    <row r="127" customFormat="false" ht="15.75" hidden="false" customHeight="true" outlineLevel="0" collapsed="false">
      <c r="A127" s="1" t="n">
        <f aca="false">D127*0.75*6.5*0.6</f>
        <v>222563.25</v>
      </c>
      <c r="B127" s="20" t="s">
        <v>180</v>
      </c>
      <c r="C127" s="20"/>
      <c r="D127" s="39" t="n">
        <v>76090</v>
      </c>
      <c r="E127" s="1" t="n">
        <v>1</v>
      </c>
      <c r="F127" s="19" t="n">
        <f aca="false">IF((($D$1/2)-75)&lt;0,0,($D$1/2-75))</f>
        <v>0</v>
      </c>
      <c r="G127" s="20" t="n">
        <f aca="false">D127*E127*F127</f>
        <v>0</v>
      </c>
      <c r="M127" s="1" t="n">
        <f aca="false">$G127*0.45*0.6</f>
        <v>0</v>
      </c>
      <c r="N127" s="1" t="n">
        <f aca="false">$G127*0.3*0.6</f>
        <v>0</v>
      </c>
      <c r="O127" s="1" t="n">
        <f aca="false">$G127*0.25*0.6</f>
        <v>0</v>
      </c>
    </row>
    <row r="128" customFormat="false" ht="15.75" hidden="false" customHeight="true" outlineLevel="0" collapsed="false">
      <c r="B128" s="20" t="s">
        <v>181</v>
      </c>
      <c r="C128" s="20"/>
      <c r="D128" s="39" t="n">
        <v>23314</v>
      </c>
      <c r="E128" s="1" t="n">
        <v>1</v>
      </c>
      <c r="F128" s="19" t="n">
        <f aca="false">D1/2</f>
        <v>30.5</v>
      </c>
      <c r="G128" s="20" t="n">
        <f aca="false">D128*E128*F128</f>
        <v>711077</v>
      </c>
      <c r="P128" s="1" t="n">
        <f aca="false">$G$128*0.6</f>
        <v>426646.2</v>
      </c>
    </row>
    <row r="129" customFormat="false" ht="15.75" hidden="false" customHeight="true" outlineLevel="0" collapsed="false">
      <c r="A129" s="1" t="n">
        <f aca="false">+D129*0.75*11*0.6</f>
        <v>123750</v>
      </c>
      <c r="B129" s="20" t="s">
        <v>182</v>
      </c>
      <c r="C129" s="20"/>
      <c r="D129" s="39" t="n">
        <f aca="false">500000/20</f>
        <v>25000</v>
      </c>
      <c r="E129" s="1" t="n">
        <v>1</v>
      </c>
      <c r="F129" s="19" t="n">
        <f aca="false">IF((($D$1/2)-61)&lt;0,0,($D$1/2-61))</f>
        <v>0</v>
      </c>
      <c r="G129" s="20" t="n">
        <f aca="false">D129*E129*F129</f>
        <v>0</v>
      </c>
      <c r="M129" s="1" t="n">
        <f aca="false">$G129*0.45*0.6</f>
        <v>0</v>
      </c>
      <c r="N129" s="1" t="n">
        <f aca="false">$G129*0.3*0.6</f>
        <v>0</v>
      </c>
      <c r="O129" s="1" t="n">
        <f aca="false">$G129*0.25*0.6</f>
        <v>0</v>
      </c>
    </row>
    <row r="130" customFormat="false" ht="15.75" hidden="false" customHeight="true" outlineLevel="0" collapsed="false">
      <c r="B130" s="20" t="s">
        <v>183</v>
      </c>
      <c r="C130" s="20"/>
      <c r="D130" s="39" t="n">
        <f aca="false">500000/((54+D1)/3)</f>
        <v>13043.4782608696</v>
      </c>
      <c r="E130" s="20" t="n">
        <v>1</v>
      </c>
      <c r="F130" s="22" t="n">
        <f aca="false">$D$1/2</f>
        <v>30.5</v>
      </c>
      <c r="G130" s="20" t="n">
        <f aca="false">D130*E130*F130</f>
        <v>397826.086956522</v>
      </c>
      <c r="M130" s="1" t="n">
        <f aca="false">$G$130/3*0.6</f>
        <v>79565.2173913044</v>
      </c>
      <c r="N130" s="1" t="n">
        <f aca="false">$G$130/3*0.6</f>
        <v>79565.2173913044</v>
      </c>
      <c r="O130" s="1" t="n">
        <f aca="false">$G$130/3*0.6</f>
        <v>79565.2173913044</v>
      </c>
    </row>
    <row r="131" customFormat="false" ht="15" hidden="false" customHeight="false" outlineLevel="0" collapsed="false">
      <c r="B131" s="20"/>
      <c r="C131" s="20"/>
      <c r="D131" s="20"/>
      <c r="E131" s="20"/>
      <c r="F131" s="22"/>
      <c r="G131" s="20"/>
    </row>
    <row r="132" customFormat="false" ht="15" hidden="false" customHeight="false" outlineLevel="0" collapsed="false">
      <c r="B132" s="20"/>
      <c r="C132" s="20"/>
      <c r="E132" s="20" t="s">
        <v>184</v>
      </c>
      <c r="F132" s="22"/>
      <c r="G132" s="20" t="n">
        <f aca="false">SUM(G119:G131)</f>
        <v>1188808.36855652</v>
      </c>
      <c r="H132" s="1" t="n">
        <f aca="false">G132*0.6</f>
        <v>713285.021133913</v>
      </c>
      <c r="I132" s="20" t="n">
        <f aca="false">SUM(I116:I125)</f>
        <v>0</v>
      </c>
      <c r="J132" s="20"/>
      <c r="K132" s="20"/>
      <c r="L132" s="20"/>
      <c r="M132" s="20" t="n">
        <f aca="false">SUM(M116:M131)</f>
        <v>319117.898671304</v>
      </c>
      <c r="N132" s="20" t="n">
        <f aca="false">SUM(N116:N131)</f>
        <v>87769.2986713044</v>
      </c>
      <c r="O132" s="20" t="n">
        <f aca="false">SUM(O116:O131)</f>
        <v>77751.6237913043</v>
      </c>
      <c r="P132" s="20" t="n">
        <f aca="false">SUM(P116:P131)</f>
        <v>426646.2</v>
      </c>
    </row>
    <row r="133" customFormat="false" ht="15" hidden="false" customHeight="false" outlineLevel="0" collapsed="false">
      <c r="B133" s="20"/>
      <c r="C133" s="20"/>
      <c r="D133" s="20"/>
      <c r="E133" s="20"/>
      <c r="F133" s="22"/>
      <c r="G133" s="20"/>
    </row>
    <row r="135" customFormat="false" ht="15" hidden="false" customHeight="false" outlineLevel="0" collapsed="false">
      <c r="B135" s="20" t="s">
        <v>185</v>
      </c>
      <c r="C135" s="20"/>
      <c r="D135" s="20"/>
      <c r="E135" s="20"/>
      <c r="F135" s="22"/>
      <c r="G135" s="20" t="n">
        <f aca="false">G111+G132</f>
        <v>10201826.0085565</v>
      </c>
      <c r="H135" s="20" t="n">
        <f aca="false">H111+H132</f>
        <v>7967742.46113391</v>
      </c>
      <c r="I135" s="1" t="n">
        <f aca="false">I132+H111</f>
        <v>7254457.44</v>
      </c>
      <c r="M135" s="26" t="n">
        <f aca="false">H111+M132</f>
        <v>7573575.3386713</v>
      </c>
      <c r="N135" s="24" t="n">
        <f aca="false">M135+N132</f>
        <v>7661344.63734261</v>
      </c>
      <c r="O135" s="24" t="n">
        <f aca="false">N135+O132</f>
        <v>7739096.26113391</v>
      </c>
      <c r="P135" s="24" t="n">
        <f aca="false">O135+P132</f>
        <v>8165742.46113391</v>
      </c>
    </row>
    <row r="136" customFormat="false" ht="15" hidden="false" customHeight="false" outlineLevel="0" collapsed="false">
      <c r="A136" s="1" t="s">
        <v>186</v>
      </c>
      <c r="D136" s="1" t="s">
        <v>187</v>
      </c>
    </row>
    <row r="139" customFormat="false" ht="15" hidden="false" customHeight="false" outlineLevel="0" collapsed="false">
      <c r="G139" s="20"/>
      <c r="H139" s="20"/>
      <c r="R139" s="6"/>
      <c r="S139" s="6"/>
      <c r="V139" s="6"/>
    </row>
    <row r="140" customFormat="false" ht="15" hidden="false" customHeight="false" outlineLevel="0" collapsed="false">
      <c r="G140" s="20"/>
      <c r="H140" s="20"/>
    </row>
    <row r="141" customFormat="false" ht="15" hidden="false" customHeight="false" outlineLevel="0" collapsed="false">
      <c r="B141" s="1" t="s">
        <v>136</v>
      </c>
      <c r="E141" s="1" t="n">
        <v>133</v>
      </c>
      <c r="G141" s="20"/>
      <c r="H141" s="20"/>
    </row>
    <row r="142" customFormat="false" ht="15" hidden="false" customHeight="false" outlineLevel="0" collapsed="false">
      <c r="B142" s="20" t="s">
        <v>188</v>
      </c>
      <c r="C142" s="20"/>
      <c r="D142" s="20"/>
      <c r="E142" s="20" t="n">
        <v>65</v>
      </c>
      <c r="G142" s="20"/>
      <c r="H142" s="20"/>
      <c r="I142" s="20"/>
      <c r="J142" s="20"/>
      <c r="K142" s="20"/>
    </row>
    <row r="143" customFormat="false" ht="15" hidden="false" customHeight="false" outlineLevel="0" collapsed="false">
      <c r="B143" s="20" t="s">
        <v>189</v>
      </c>
      <c r="C143" s="20"/>
      <c r="D143" s="20"/>
      <c r="E143" s="20" t="n">
        <v>45</v>
      </c>
      <c r="G143" s="20"/>
      <c r="H143" s="20"/>
      <c r="I143" s="20"/>
      <c r="J143" s="20"/>
      <c r="K143" s="20"/>
      <c r="L143" s="20"/>
    </row>
    <row r="144" customFormat="false" ht="15" hidden="false" customHeight="false" outlineLevel="0" collapsed="false">
      <c r="B144" s="20" t="s">
        <v>190</v>
      </c>
      <c r="C144" s="20"/>
      <c r="D144" s="20"/>
      <c r="E144" s="20" t="n">
        <v>54</v>
      </c>
      <c r="G144" s="20"/>
      <c r="H144" s="20"/>
      <c r="I144" s="20"/>
      <c r="J144" s="20"/>
      <c r="K144" s="20"/>
      <c r="L144" s="20"/>
    </row>
    <row r="145" customFormat="false" ht="15" hidden="false" customHeight="false" outlineLevel="0" collapsed="false">
      <c r="B145" s="20" t="s">
        <v>191</v>
      </c>
      <c r="C145" s="20"/>
      <c r="D145" s="20"/>
      <c r="E145" s="20" t="n">
        <v>64</v>
      </c>
      <c r="G145" s="20"/>
      <c r="H145" s="20"/>
      <c r="I145" s="20"/>
      <c r="J145" s="20"/>
      <c r="K145" s="20"/>
      <c r="L145" s="20"/>
      <c r="M145" s="20"/>
    </row>
    <row r="146" customFormat="false" ht="15" hidden="false" customHeight="false" outlineLevel="0" collapsed="false">
      <c r="B146" s="20" t="s">
        <v>192</v>
      </c>
      <c r="C146" s="20"/>
      <c r="D146" s="20"/>
      <c r="E146" s="20" t="n">
        <v>49</v>
      </c>
      <c r="G146" s="20"/>
      <c r="H146" s="20"/>
      <c r="I146" s="20"/>
      <c r="J146" s="20"/>
      <c r="K146" s="20"/>
      <c r="L146" s="20"/>
      <c r="M146" s="20"/>
    </row>
    <row r="147" customFormat="false" ht="15" hidden="false" customHeight="false" outlineLevel="0" collapsed="false">
      <c r="B147" s="20" t="s">
        <v>193</v>
      </c>
      <c r="C147" s="20"/>
      <c r="D147" s="20"/>
      <c r="E147" s="20" t="n">
        <v>22.25</v>
      </c>
      <c r="G147" s="20"/>
      <c r="H147" s="20"/>
      <c r="I147" s="20"/>
      <c r="J147" s="20"/>
      <c r="K147" s="20"/>
    </row>
    <row r="148" customFormat="false" ht="15" hidden="false" customHeight="false" outlineLevel="0" collapsed="false">
      <c r="A148" s="1" t="s">
        <v>194</v>
      </c>
      <c r="B148" s="20" t="s">
        <v>195</v>
      </c>
      <c r="C148" s="20"/>
      <c r="D148" s="20"/>
      <c r="E148" s="20" t="n">
        <v>64</v>
      </c>
      <c r="G148" s="20"/>
      <c r="H148" s="20"/>
      <c r="I148" s="20"/>
      <c r="J148" s="20"/>
      <c r="K148" s="20"/>
    </row>
    <row r="149" customFormat="false" ht="15" hidden="false" customHeight="false" outlineLevel="0" collapsed="false">
      <c r="B149" s="20" t="s">
        <v>196</v>
      </c>
      <c r="C149" s="20"/>
      <c r="D149" s="20"/>
      <c r="E149" s="20" t="n">
        <v>25</v>
      </c>
      <c r="G149" s="20"/>
      <c r="H149" s="20"/>
      <c r="I149" s="20"/>
      <c r="J149" s="20"/>
      <c r="K149" s="20"/>
      <c r="L149" s="20"/>
      <c r="M149" s="20"/>
      <c r="N149" s="20"/>
    </row>
    <row r="150" customFormat="false" ht="15" hidden="false" customHeight="false" outlineLevel="0" collapsed="false">
      <c r="B150" s="20" t="s">
        <v>197</v>
      </c>
      <c r="C150" s="20"/>
      <c r="D150" s="20"/>
      <c r="E150" s="20" t="n">
        <v>57</v>
      </c>
    </row>
    <row r="151" customFormat="false" ht="15" hidden="false" customHeight="false" outlineLevel="0" collapsed="false">
      <c r="B151" s="20" t="s">
        <v>198</v>
      </c>
      <c r="C151" s="20"/>
      <c r="D151" s="20"/>
      <c r="E151" s="20" t="n">
        <v>91</v>
      </c>
    </row>
    <row r="152" customFormat="false" ht="15" hidden="false" customHeight="false" outlineLevel="0" collapsed="false">
      <c r="B152" s="20" t="s">
        <v>199</v>
      </c>
      <c r="C152" s="20"/>
      <c r="D152" s="20"/>
      <c r="E152" s="20" t="n">
        <v>57</v>
      </c>
    </row>
    <row r="153" customFormat="false" ht="15" hidden="false" customHeight="false" outlineLevel="0" collapsed="false">
      <c r="B153" s="20"/>
      <c r="C153" s="20"/>
      <c r="D153" s="20"/>
      <c r="E153" s="20"/>
    </row>
    <row r="154" customFormat="false" ht="15" hidden="false" customHeight="false" outlineLevel="0" collapsed="false">
      <c r="B154" s="20"/>
      <c r="C154" s="20"/>
      <c r="D154" s="20"/>
      <c r="E154" s="20"/>
    </row>
    <row r="155" customFormat="false" ht="15" hidden="false" customHeight="false" outlineLevel="0" collapsed="false">
      <c r="B155" s="20"/>
      <c r="C155" s="20"/>
      <c r="D155" s="20"/>
      <c r="E155" s="20"/>
    </row>
    <row r="156" customFormat="false" ht="15" hidden="false" customHeight="false" outlineLevel="0" collapsed="false">
      <c r="B156" s="20"/>
      <c r="C156" s="20"/>
      <c r="D156" s="20"/>
      <c r="E156" s="20"/>
    </row>
    <row r="157" customFormat="false" ht="15" hidden="false" customHeight="false" outlineLevel="0" collapsed="false">
      <c r="B157" s="20"/>
      <c r="C157" s="20"/>
      <c r="D157" s="20"/>
      <c r="E157" s="20"/>
    </row>
    <row r="158" customFormat="false" ht="15" hidden="false" customHeight="false" outlineLevel="0" collapsed="false">
      <c r="B158" s="20"/>
      <c r="C158" s="20"/>
      <c r="D158" s="20"/>
      <c r="E158" s="20"/>
    </row>
    <row r="159" customFormat="false" ht="15" hidden="false" customHeight="false" outlineLevel="0" collapsed="false">
      <c r="B159" s="20"/>
      <c r="C159" s="20"/>
      <c r="D159" s="20"/>
      <c r="E159" s="20"/>
    </row>
    <row r="160" customFormat="false" ht="15" hidden="false" customHeight="false" outlineLevel="0" collapsed="false">
      <c r="B160" s="20"/>
      <c r="C160" s="20"/>
      <c r="D160" s="20"/>
      <c r="E160" s="20"/>
    </row>
    <row r="161" customFormat="false" ht="15" hidden="false" customHeight="false" outlineLevel="0" collapsed="false">
      <c r="B161" s="20"/>
      <c r="C161" s="20"/>
      <c r="D161" s="20"/>
      <c r="E161" s="20"/>
      <c r="M161" s="19" t="s">
        <v>200</v>
      </c>
      <c r="N161" s="19" t="s">
        <v>201</v>
      </c>
    </row>
    <row r="162" customFormat="false" ht="15" hidden="false" customHeight="false" outlineLevel="0" collapsed="false">
      <c r="B162" s="20"/>
      <c r="C162" s="20"/>
      <c r="D162" s="20"/>
      <c r="E162" s="20"/>
      <c r="L162" s="1" t="s">
        <v>202</v>
      </c>
      <c r="M162" s="1" t="n">
        <v>1150000</v>
      </c>
      <c r="N162" s="1" t="n">
        <f aca="false">M162</f>
        <v>1150000</v>
      </c>
    </row>
    <row r="163" customFormat="false" ht="15" hidden="false" customHeight="false" outlineLevel="0" collapsed="false">
      <c r="B163" s="20"/>
      <c r="C163" s="20"/>
      <c r="D163" s="20"/>
      <c r="E163" s="20"/>
      <c r="L163" s="1" t="s">
        <v>203</v>
      </c>
      <c r="M163" s="1" t="n">
        <v>600000</v>
      </c>
      <c r="N163" s="1" t="n">
        <f aca="false">M163</f>
        <v>600000</v>
      </c>
    </row>
    <row r="164" customFormat="false" ht="15" hidden="false" customHeight="false" outlineLevel="0" collapsed="false">
      <c r="B164" s="20"/>
      <c r="C164" s="20"/>
      <c r="D164" s="20"/>
      <c r="E164" s="20"/>
      <c r="L164" s="1" t="s">
        <v>204</v>
      </c>
      <c r="M164" s="1" t="n">
        <v>500000</v>
      </c>
      <c r="N164" s="1" t="n">
        <f aca="false">M164</f>
        <v>500000</v>
      </c>
    </row>
    <row r="165" customFormat="false" ht="15" hidden="false" customHeight="false" outlineLevel="0" collapsed="false">
      <c r="L165" s="1" t="s">
        <v>205</v>
      </c>
      <c r="M165" s="1" t="n">
        <v>700000</v>
      </c>
      <c r="N165" s="1" t="n">
        <f aca="false">M165</f>
        <v>700000</v>
      </c>
    </row>
    <row r="166" customFormat="false" ht="15" hidden="false" customHeight="false" outlineLevel="0" collapsed="false">
      <c r="L166" s="1" t="s">
        <v>206</v>
      </c>
      <c r="M166" s="1" t="n">
        <f aca="false">M154*N154</f>
        <v>0</v>
      </c>
      <c r="N166" s="1" t="n">
        <f aca="false">M158*N158</f>
        <v>0</v>
      </c>
    </row>
    <row r="167" customFormat="false" ht="15.75" hidden="false" customHeight="false" outlineLevel="0" collapsed="false">
      <c r="D167" s="40"/>
      <c r="E167" s="40"/>
      <c r="F167" s="31"/>
      <c r="G167" s="40"/>
      <c r="L167" s="1" t="s">
        <v>207</v>
      </c>
      <c r="M167" s="1" t="n">
        <f aca="false">M166*0.15</f>
        <v>0</v>
      </c>
      <c r="N167" s="1" t="n">
        <f aca="false">N166*0.15</f>
        <v>0</v>
      </c>
    </row>
    <row r="169" customFormat="false" ht="15" hidden="false" customHeight="false" outlineLevel="0" collapsed="false">
      <c r="L169" s="1" t="s">
        <v>208</v>
      </c>
      <c r="M169" s="1" t="n">
        <f aca="false">SUM(M162:M167)</f>
        <v>2950000</v>
      </c>
      <c r="N169" s="1" t="n">
        <f aca="false">SUM(N162:N167)</f>
        <v>2950000</v>
      </c>
    </row>
    <row r="170" customFormat="false" ht="15" hidden="false" customHeight="false" outlineLevel="0" collapsed="false">
      <c r="L170" s="1" t="s">
        <v>209</v>
      </c>
      <c r="M170" s="1" t="n">
        <f aca="false">M169/134</f>
        <v>22014.9253731343</v>
      </c>
      <c r="N170" s="1" t="n">
        <f aca="false">N169/134</f>
        <v>22014.9253731343</v>
      </c>
    </row>
    <row r="172" customFormat="false" ht="15" hidden="false" customHeight="false" outlineLevel="0" collapsed="false">
      <c r="L172" s="1" t="s">
        <v>210</v>
      </c>
      <c r="M172" s="1" t="n">
        <f aca="false">M169*0.8</f>
        <v>2360000</v>
      </c>
      <c r="N172" s="1" t="n">
        <f aca="false">N169*0.8</f>
        <v>2360000</v>
      </c>
    </row>
    <row r="174" customFormat="false" ht="15" hidden="false" customHeight="false" outlineLevel="0" collapsed="false">
      <c r="L174" s="1" t="s">
        <v>211</v>
      </c>
      <c r="M174" s="1" t="n">
        <v>1000000</v>
      </c>
      <c r="N174" s="1" t="n">
        <f aca="false">M174</f>
        <v>1000000</v>
      </c>
    </row>
    <row r="175" customFormat="false" ht="15" hidden="false" customHeight="false" outlineLevel="0" collapsed="false">
      <c r="L175" s="1" t="s">
        <v>212</v>
      </c>
      <c r="M175" s="1" t="n">
        <f aca="false">M174/0.1</f>
        <v>10000000</v>
      </c>
      <c r="N175" s="1" t="n">
        <f aca="false">M175</f>
        <v>10000000</v>
      </c>
    </row>
    <row r="176" customFormat="false" ht="15" hidden="false" customHeight="false" outlineLevel="0" collapsed="false">
      <c r="L176" s="1" t="s">
        <v>213</v>
      </c>
      <c r="M176" s="1" t="n">
        <f aca="false">M175*0.8</f>
        <v>8000000</v>
      </c>
      <c r="N176" s="1" t="n">
        <f aca="false">M176</f>
        <v>8000000</v>
      </c>
    </row>
    <row r="178" customFormat="false" ht="15" hidden="false" customHeight="false" outlineLevel="0" collapsed="false">
      <c r="L178" s="1" t="s">
        <v>214</v>
      </c>
      <c r="M178" s="1" t="n">
        <f aca="false">(PMT(0.075/12,360,M176))*12</f>
        <v>-671245.928210668</v>
      </c>
      <c r="N178" s="1" t="n">
        <f aca="false">(PMT(0.075/12,360,N176))*12</f>
        <v>-671245.928210668</v>
      </c>
    </row>
    <row r="179" customFormat="false" ht="15" hidden="false" customHeight="false" outlineLevel="0" collapsed="false">
      <c r="D179" s="26"/>
      <c r="E179" s="26"/>
      <c r="F179" s="41"/>
      <c r="G179" s="26"/>
      <c r="L179" s="1" t="s">
        <v>215</v>
      </c>
      <c r="M179" s="1" t="n">
        <f aca="false">M174+M178</f>
        <v>328754.071789332</v>
      </c>
      <c r="N179" s="1" t="n">
        <f aca="false">N174+N178</f>
        <v>328754.071789332</v>
      </c>
    </row>
    <row r="181" customFormat="false" ht="15" hidden="false" customHeight="false" outlineLevel="0" collapsed="false">
      <c r="L181" s="1" t="s">
        <v>216</v>
      </c>
      <c r="M181" s="1" t="n">
        <f aca="false">M172-M176</f>
        <v>-5640000</v>
      </c>
      <c r="N181" s="1" t="n">
        <f aca="false">N172-N176</f>
        <v>-5640000</v>
      </c>
    </row>
    <row r="183" customFormat="false" ht="15.75" hidden="false" customHeight="false" outlineLevel="0" collapsed="false">
      <c r="B183" s="42" t="s">
        <v>217</v>
      </c>
      <c r="C183" s="42"/>
      <c r="D183" s="1" t="s">
        <v>218</v>
      </c>
      <c r="E183" s="19" t="s">
        <v>219</v>
      </c>
    </row>
    <row r="184" customFormat="false" ht="15" hidden="false" customHeight="false" outlineLevel="0" collapsed="false">
      <c r="B184" s="1" t="s">
        <v>220</v>
      </c>
      <c r="D184" s="1" t="n">
        <v>300</v>
      </c>
      <c r="E184" s="19" t="n">
        <v>300</v>
      </c>
    </row>
    <row r="185" customFormat="false" ht="15" hidden="false" customHeight="false" outlineLevel="0" collapsed="false">
      <c r="B185" s="1" t="s">
        <v>18</v>
      </c>
      <c r="D185" s="1" t="n">
        <v>300</v>
      </c>
      <c r="E185" s="19" t="n">
        <v>300</v>
      </c>
    </row>
    <row r="186" customFormat="false" ht="15" hidden="false" customHeight="false" outlineLevel="0" collapsed="false">
      <c r="B186" s="1" t="s">
        <v>221</v>
      </c>
      <c r="D186" s="1" t="n">
        <v>1500</v>
      </c>
      <c r="E186" s="19" t="n">
        <v>2000</v>
      </c>
    </row>
    <row r="187" customFormat="false" ht="15" hidden="false" customHeight="false" outlineLevel="0" collapsed="false">
      <c r="B187" s="1" t="s">
        <v>222</v>
      </c>
      <c r="D187" s="1" t="n">
        <v>2000</v>
      </c>
      <c r="E187" s="19" t="n">
        <v>2500</v>
      </c>
    </row>
    <row r="188" customFormat="false" ht="15" hidden="false" customHeight="false" outlineLevel="0" collapsed="false">
      <c r="B188" s="1" t="s">
        <v>50</v>
      </c>
      <c r="D188" s="1" t="n">
        <v>500</v>
      </c>
      <c r="E188" s="19" t="n">
        <v>2500</v>
      </c>
    </row>
    <row r="189" customFormat="false" ht="15" hidden="false" customHeight="false" outlineLevel="0" collapsed="false">
      <c r="B189" s="1" t="s">
        <v>60</v>
      </c>
      <c r="D189" s="1" t="n">
        <f aca="false">SUM(D184:D188)</f>
        <v>4600</v>
      </c>
      <c r="E189" s="1" t="n">
        <f aca="false">SUM(E184:E188)</f>
        <v>7600</v>
      </c>
    </row>
    <row r="195" customFormat="false" ht="20.25" hidden="false" customHeight="false" outlineLevel="0" collapsed="false">
      <c r="O195" s="40"/>
      <c r="P195" s="19"/>
      <c r="R195" s="3"/>
    </row>
    <row r="205" customFormat="false" ht="15" hidden="false" customHeight="false" outlineLevel="0" collapsed="false">
      <c r="O205" s="6"/>
    </row>
  </sheetData>
  <mergeCells count="1">
    <mergeCell ref="Y11:Z11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01" man="true" max="16383" min="0"/>
  </rowBreaks>
  <colBreaks count="2" manualBreakCount="2">
    <brk id="12" man="true" max="65535" min="0"/>
    <brk id="20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D4" activeCellId="0" sqref="D4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3.44"/>
    <col collapsed="false" customWidth="true" hidden="false" outlineLevel="0" max="3" min="2" style="19" width="13.44"/>
    <col collapsed="false" customWidth="true" hidden="false" outlineLevel="0" max="4" min="4" style="19" width="10.99"/>
    <col collapsed="false" customWidth="true" hidden="false" outlineLevel="0" max="5" min="5" style="0" width="8.99"/>
    <col collapsed="false" customWidth="true" hidden="false" outlineLevel="0" max="6" min="6" style="0" width="10.55"/>
  </cols>
  <sheetData>
    <row r="1" customFormat="false" ht="17.25" hidden="false" customHeight="false" outlineLevel="0" collapsed="false">
      <c r="B1" s="43" t="s">
        <v>223</v>
      </c>
      <c r="C1" s="43" t="s">
        <v>224</v>
      </c>
      <c r="D1" s="43" t="s">
        <v>225</v>
      </c>
      <c r="E1" s="44"/>
    </row>
    <row r="2" customFormat="false" ht="15" hidden="false" customHeight="false" outlineLevel="0" collapsed="false">
      <c r="A2" s="0" t="s">
        <v>226</v>
      </c>
      <c r="B2" s="19" t="n">
        <f aca="false">57*53</f>
        <v>3021</v>
      </c>
      <c r="C2" s="45" t="n">
        <v>7</v>
      </c>
      <c r="D2" s="19" t="n">
        <f aca="false">B2*C2</f>
        <v>21147</v>
      </c>
    </row>
    <row r="3" customFormat="false" ht="15" hidden="false" customHeight="false" outlineLevel="0" collapsed="false">
      <c r="A3" s="0" t="s">
        <v>227</v>
      </c>
      <c r="B3" s="19" t="n">
        <v>2500</v>
      </c>
      <c r="C3" s="45" t="n">
        <v>7.5</v>
      </c>
      <c r="D3" s="19" t="n">
        <f aca="false">B3*C3</f>
        <v>18750</v>
      </c>
      <c r="L3" s="0" t="n">
        <f aca="false">PV(0.08/12,240,75)</f>
        <v>-8966.57187767817</v>
      </c>
    </row>
    <row r="4" customFormat="false" ht="15" hidden="false" customHeight="false" outlineLevel="0" collapsed="false">
      <c r="A4" s="0" t="s">
        <v>228</v>
      </c>
      <c r="B4" s="19" t="n">
        <v>5000</v>
      </c>
      <c r="C4" s="45" t="n">
        <v>6</v>
      </c>
      <c r="D4" s="19" t="n">
        <f aca="false">B4*C4</f>
        <v>30000</v>
      </c>
    </row>
    <row r="5" customFormat="false" ht="15" hidden="false" customHeight="false" outlineLevel="0" collapsed="false">
      <c r="A5" s="0" t="s">
        <v>229</v>
      </c>
      <c r="B5" s="19" t="n">
        <f aca="false">55*20*2+41*24*2</f>
        <v>4168</v>
      </c>
      <c r="C5" s="45" t="n">
        <v>3</v>
      </c>
      <c r="D5" s="1" t="n">
        <f aca="false">B5*C5</f>
        <v>12504</v>
      </c>
    </row>
    <row r="6" customFormat="false" ht="15" hidden="false" customHeight="false" outlineLevel="0" collapsed="false">
      <c r="A6" s="0" t="s">
        <v>230</v>
      </c>
      <c r="B6" s="19" t="n">
        <f aca="false">55*24*2</f>
        <v>2640</v>
      </c>
      <c r="C6" s="45" t="n">
        <v>3.5</v>
      </c>
      <c r="D6" s="1" t="n">
        <f aca="false">B6*C6</f>
        <v>9240</v>
      </c>
    </row>
    <row r="7" customFormat="false" ht="15" hidden="false" customHeight="false" outlineLevel="0" collapsed="false">
      <c r="A7" s="0" t="s">
        <v>231</v>
      </c>
      <c r="D7" s="1" t="n">
        <v>1500</v>
      </c>
    </row>
    <row r="8" customFormat="false" ht="15" hidden="false" customHeight="false" outlineLevel="0" collapsed="false">
      <c r="A8" s="0" t="s">
        <v>232</v>
      </c>
      <c r="B8" s="19" t="n">
        <v>30</v>
      </c>
      <c r="C8" s="19" t="n">
        <v>150</v>
      </c>
      <c r="D8" s="19" t="n">
        <f aca="false">B8*C8</f>
        <v>4500</v>
      </c>
    </row>
    <row r="9" customFormat="false" ht="15" hidden="false" customHeight="false" outlineLevel="0" collapsed="false">
      <c r="A9" s="0" t="s">
        <v>233</v>
      </c>
      <c r="B9" s="0" t="n">
        <f aca="false">(55*52*1.5)/100</f>
        <v>42.9</v>
      </c>
      <c r="C9" s="19" t="n">
        <v>125</v>
      </c>
      <c r="D9" s="19" t="n">
        <f aca="false">B9*C9</f>
        <v>5362.5</v>
      </c>
      <c r="I9" s="0" t="s">
        <v>234</v>
      </c>
      <c r="J9" s="0" t="n">
        <f aca="false">50*20*2</f>
        <v>2000</v>
      </c>
    </row>
    <row r="10" customFormat="false" ht="15" hidden="false" customHeight="false" outlineLevel="0" collapsed="false">
      <c r="A10" s="0" t="s">
        <v>235</v>
      </c>
      <c r="B10" s="19" t="n">
        <f aca="false">56*20*2+41*20*2+41*10*2</f>
        <v>4700</v>
      </c>
      <c r="C10" s="19" t="n">
        <v>5</v>
      </c>
      <c r="D10" s="19" t="n">
        <f aca="false">B10*C10</f>
        <v>23500</v>
      </c>
      <c r="I10" s="0" t="s">
        <v>236</v>
      </c>
      <c r="J10" s="0" t="n">
        <f aca="false">50*20*2</f>
        <v>2000</v>
      </c>
    </row>
    <row r="11" customFormat="false" ht="15" hidden="false" customHeight="false" outlineLevel="0" collapsed="false">
      <c r="A11" s="0" t="s">
        <v>237</v>
      </c>
      <c r="D11" s="19" t="n">
        <v>10000</v>
      </c>
      <c r="I11" s="0" t="s">
        <v>238</v>
      </c>
      <c r="J11" s="0" t="n">
        <f aca="false">22*20*4</f>
        <v>1760</v>
      </c>
    </row>
    <row r="12" customFormat="false" ht="15" hidden="false" customHeight="false" outlineLevel="0" collapsed="false">
      <c r="A12" s="0" t="s">
        <v>239</v>
      </c>
      <c r="D12" s="19" t="n">
        <v>1000</v>
      </c>
    </row>
    <row r="13" customFormat="false" ht="15" hidden="false" customHeight="false" outlineLevel="0" collapsed="false">
      <c r="A13" s="0" t="s">
        <v>240</v>
      </c>
      <c r="D13" s="19" t="n">
        <v>10000</v>
      </c>
    </row>
    <row r="14" customFormat="false" ht="15" hidden="false" customHeight="false" outlineLevel="0" collapsed="false">
      <c r="A14" s="0" t="s">
        <v>241</v>
      </c>
      <c r="D14" s="19" t="n">
        <v>7500</v>
      </c>
      <c r="I14" s="0" t="s">
        <v>242</v>
      </c>
      <c r="J14" s="0" t="n">
        <f aca="false">16*8*2</f>
        <v>256</v>
      </c>
    </row>
    <row r="15" customFormat="false" ht="15" hidden="false" customHeight="false" outlineLevel="0" collapsed="false">
      <c r="A15" s="0" t="s">
        <v>243</v>
      </c>
      <c r="B15" s="19" t="n">
        <v>4200</v>
      </c>
      <c r="C15" s="45" t="n">
        <f aca="false">(3.5+7)/2</f>
        <v>5.25</v>
      </c>
      <c r="D15" s="19" t="n">
        <f aca="false">B15*C15</f>
        <v>22050</v>
      </c>
      <c r="I15" s="0" t="s">
        <v>244</v>
      </c>
      <c r="J15" s="0" t="n">
        <f aca="false">2.5*7*8</f>
        <v>140</v>
      </c>
    </row>
    <row r="16" customFormat="false" ht="15" hidden="false" customHeight="false" outlineLevel="0" collapsed="false">
      <c r="A16" s="0" t="s">
        <v>245</v>
      </c>
      <c r="D16" s="19" t="n">
        <v>10000</v>
      </c>
      <c r="I16" s="0" t="s">
        <v>246</v>
      </c>
      <c r="J16" s="0" t="n">
        <f aca="false">15*20</f>
        <v>300</v>
      </c>
    </row>
    <row r="17" customFormat="false" ht="15" hidden="false" customHeight="false" outlineLevel="0" collapsed="false">
      <c r="A17" s="0" t="s">
        <v>247</v>
      </c>
      <c r="B17" s="19" t="n">
        <v>40</v>
      </c>
      <c r="C17" s="19" t="n">
        <v>75</v>
      </c>
      <c r="D17" s="19" t="n">
        <v>5000</v>
      </c>
    </row>
    <row r="18" customFormat="false" ht="15" hidden="false" customHeight="false" outlineLevel="0" collapsed="false">
      <c r="A18" s="0" t="s">
        <v>248</v>
      </c>
      <c r="D18" s="1" t="n">
        <v>3000</v>
      </c>
    </row>
    <row r="19" customFormat="false" ht="15" hidden="false" customHeight="false" outlineLevel="0" collapsed="false">
      <c r="A19" s="0" t="s">
        <v>249</v>
      </c>
      <c r="D19" s="1" t="n">
        <v>2000</v>
      </c>
    </row>
    <row r="20" customFormat="false" ht="15" hidden="false" customHeight="false" outlineLevel="0" collapsed="false">
      <c r="A20" s="0" t="s">
        <v>250</v>
      </c>
      <c r="D20" s="1" t="n">
        <v>1300</v>
      </c>
    </row>
    <row r="21" customFormat="false" ht="15" hidden="false" customHeight="false" outlineLevel="0" collapsed="false">
      <c r="A21" s="0" t="s">
        <v>251</v>
      </c>
      <c r="D21" s="1" t="n">
        <v>2500</v>
      </c>
    </row>
    <row r="22" customFormat="false" ht="15" hidden="false" customHeight="false" outlineLevel="0" collapsed="false">
      <c r="A22" s="0" t="s">
        <v>252</v>
      </c>
      <c r="D22" s="1" t="n">
        <v>1500</v>
      </c>
    </row>
    <row r="23" customFormat="false" ht="15" hidden="false" customHeight="false" outlineLevel="0" collapsed="false">
      <c r="A23" s="0" t="s">
        <v>253</v>
      </c>
      <c r="D23" s="1" t="n">
        <v>500</v>
      </c>
    </row>
    <row r="24" customFormat="false" ht="15" hidden="false" customHeight="false" outlineLevel="0" collapsed="false">
      <c r="A24" s="0" t="s">
        <v>254</v>
      </c>
      <c r="D24" s="19" t="n">
        <v>750</v>
      </c>
    </row>
    <row r="25" customFormat="false" ht="15" hidden="false" customHeight="false" outlineLevel="0" collapsed="false">
      <c r="A25" s="0" t="s">
        <v>255</v>
      </c>
      <c r="D25" s="19" t="n">
        <v>7500</v>
      </c>
      <c r="J25" s="0" t="n">
        <f aca="false">SUM(J9:J11)-SUM(J14:J16)</f>
        <v>5064</v>
      </c>
    </row>
    <row r="26" customFormat="false" ht="15" hidden="false" customHeight="false" outlineLevel="0" collapsed="false">
      <c r="A26" s="0" t="s">
        <v>256</v>
      </c>
      <c r="D26" s="19" t="n">
        <v>3500</v>
      </c>
    </row>
    <row r="27" customFormat="false" ht="15" hidden="false" customHeight="false" outlineLevel="0" collapsed="false">
      <c r="A27" s="0" t="s">
        <v>257</v>
      </c>
      <c r="B27" s="19" t="n">
        <v>4800</v>
      </c>
      <c r="C27" s="19" t="n">
        <v>2</v>
      </c>
      <c r="D27" s="19" t="n">
        <f aca="false">B27*C27</f>
        <v>9600</v>
      </c>
    </row>
    <row r="28" customFormat="false" ht="15" hidden="false" customHeight="false" outlineLevel="0" collapsed="false">
      <c r="A28" s="0" t="s">
        <v>258</v>
      </c>
      <c r="B28" s="19" t="n">
        <v>20</v>
      </c>
      <c r="C28" s="19" t="n">
        <v>15</v>
      </c>
      <c r="D28" s="1" t="n">
        <f aca="false">B28*C28</f>
        <v>300</v>
      </c>
    </row>
    <row r="29" customFormat="false" ht="15" hidden="false" customHeight="false" outlineLevel="0" collapsed="false">
      <c r="A29" s="0" t="s">
        <v>259</v>
      </c>
      <c r="B29" s="19" t="n">
        <v>20</v>
      </c>
      <c r="C29" s="19" t="n">
        <v>100</v>
      </c>
      <c r="D29" s="19" t="n">
        <f aca="false">B29*C29</f>
        <v>2000</v>
      </c>
    </row>
    <row r="30" customFormat="false" ht="15" hidden="false" customHeight="false" outlineLevel="0" collapsed="false">
      <c r="A30" s="0" t="s">
        <v>260</v>
      </c>
      <c r="B30" s="19" t="n">
        <v>1</v>
      </c>
      <c r="C30" s="19" t="n">
        <v>2400</v>
      </c>
      <c r="D30" s="19" t="n">
        <f aca="false">B30*C30</f>
        <v>2400</v>
      </c>
    </row>
    <row r="31" customFormat="false" ht="15" hidden="false" customHeight="false" outlineLevel="0" collapsed="false">
      <c r="A31" s="0" t="s">
        <v>261</v>
      </c>
      <c r="B31" s="19" t="n">
        <v>3</v>
      </c>
      <c r="C31" s="19" t="n">
        <v>500</v>
      </c>
      <c r="D31" s="19" t="n">
        <f aca="false">B31*C31</f>
        <v>1500</v>
      </c>
    </row>
    <row r="32" customFormat="false" ht="15" hidden="false" customHeight="false" outlineLevel="0" collapsed="false">
      <c r="A32" s="0" t="s">
        <v>262</v>
      </c>
      <c r="D32" s="19" t="n">
        <v>7500</v>
      </c>
    </row>
    <row r="33" customFormat="false" ht="15" hidden="false" customHeight="false" outlineLevel="0" collapsed="false">
      <c r="A33" s="0" t="s">
        <v>263</v>
      </c>
      <c r="D33" s="19" t="n">
        <v>2500</v>
      </c>
    </row>
    <row r="34" customFormat="false" ht="15" hidden="false" customHeight="false" outlineLevel="0" collapsed="false">
      <c r="A34" s="0" t="s">
        <v>264</v>
      </c>
      <c r="D34" s="19" t="n">
        <v>5000</v>
      </c>
    </row>
    <row r="35" customFormat="false" ht="15" hidden="false" customHeight="false" outlineLevel="0" collapsed="false">
      <c r="A35" s="0" t="s">
        <v>265</v>
      </c>
      <c r="D35" s="19" t="n">
        <v>1500</v>
      </c>
    </row>
    <row r="36" customFormat="false" ht="15" hidden="false" customHeight="false" outlineLevel="0" collapsed="false">
      <c r="A36" s="0" t="s">
        <v>266</v>
      </c>
      <c r="D36" s="19" t="n">
        <v>20000</v>
      </c>
    </row>
    <row r="37" customFormat="false" ht="15" hidden="false" customHeight="false" outlineLevel="0" collapsed="false">
      <c r="A37" s="0" t="s">
        <v>267</v>
      </c>
      <c r="D37" s="19" t="n">
        <v>10000</v>
      </c>
    </row>
    <row r="38" customFormat="false" ht="15" hidden="false" customHeight="false" outlineLevel="0" collapsed="false">
      <c r="A38" s="0" t="s">
        <v>268</v>
      </c>
      <c r="D38" s="19" t="n">
        <v>1500</v>
      </c>
    </row>
    <row r="39" customFormat="false" ht="15" hidden="false" customHeight="false" outlineLevel="0" collapsed="false">
      <c r="A39" s="0" t="s">
        <v>269</v>
      </c>
      <c r="D39" s="19" t="n">
        <v>7500</v>
      </c>
    </row>
    <row r="40" customFormat="false" ht="15" hidden="false" customHeight="false" outlineLevel="0" collapsed="false">
      <c r="A40" s="0" t="s">
        <v>270</v>
      </c>
      <c r="D40" s="19" t="n">
        <v>3000</v>
      </c>
    </row>
    <row r="41" customFormat="false" ht="15" hidden="false" customHeight="false" outlineLevel="0" collapsed="false">
      <c r="A41" s="0" t="s">
        <v>271</v>
      </c>
      <c r="D41" s="19" t="n">
        <v>1000</v>
      </c>
    </row>
    <row r="42" customFormat="false" ht="15" hidden="false" customHeight="false" outlineLevel="0" collapsed="false">
      <c r="A42" s="0" t="s">
        <v>272</v>
      </c>
      <c r="D42" s="19" t="n">
        <v>7500</v>
      </c>
    </row>
    <row r="43" customFormat="false" ht="15" hidden="false" customHeight="false" outlineLevel="0" collapsed="false">
      <c r="A43" s="0" t="s">
        <v>273</v>
      </c>
      <c r="D43" s="19" t="n">
        <v>2500</v>
      </c>
    </row>
    <row r="44" customFormat="false" ht="15" hidden="false" customHeight="false" outlineLevel="0" collapsed="false">
      <c r="A44" s="0" t="s">
        <v>274</v>
      </c>
      <c r="D44" s="19" t="n">
        <v>1000</v>
      </c>
    </row>
    <row r="45" customFormat="false" ht="15" hidden="false" customHeight="false" outlineLevel="0" collapsed="false">
      <c r="A45" s="0" t="s">
        <v>275</v>
      </c>
      <c r="D45" s="19" t="n">
        <v>500</v>
      </c>
    </row>
    <row r="46" customFormat="false" ht="15" hidden="false" customHeight="false" outlineLevel="0" collapsed="false">
      <c r="A46" s="0" t="s">
        <v>276</v>
      </c>
      <c r="D46" s="19" t="n">
        <v>3500</v>
      </c>
    </row>
    <row r="47" customFormat="false" ht="15" hidden="false" customHeight="false" outlineLevel="0" collapsed="false">
      <c r="A47" s="0" t="s">
        <v>277</v>
      </c>
      <c r="D47" s="19" t="n">
        <v>2500</v>
      </c>
    </row>
    <row r="48" customFormat="false" ht="15" hidden="false" customHeight="false" outlineLevel="0" collapsed="false">
      <c r="A48" s="0" t="s">
        <v>278</v>
      </c>
      <c r="D48" s="19" t="n">
        <v>7500</v>
      </c>
    </row>
    <row r="50" customFormat="false" ht="15" hidden="false" customHeight="false" outlineLevel="0" collapsed="false">
      <c r="A50" s="0" t="s">
        <v>279</v>
      </c>
      <c r="D50" s="19" t="n">
        <f aca="false">SUM(D2:D49)</f>
        <v>314903.5</v>
      </c>
      <c r="E50" s="19"/>
      <c r="F50" s="19"/>
      <c r="G50" s="19"/>
    </row>
    <row r="51" customFormat="false" ht="15" hidden="false" customHeight="false" outlineLevel="0" collapsed="false">
      <c r="E51" s="19"/>
      <c r="F51" s="19"/>
      <c r="G51" s="19"/>
    </row>
    <row r="52" customFormat="false" ht="15" hidden="false" customHeight="false" outlineLevel="0" collapsed="false">
      <c r="A52" s="0" t="s">
        <v>280</v>
      </c>
      <c r="D52" s="19" t="n">
        <f aca="false">D50*0.12</f>
        <v>37788.42</v>
      </c>
      <c r="E52" s="19"/>
      <c r="F52" s="19"/>
    </row>
    <row r="53" customFormat="false" ht="15" hidden="false" customHeight="false" outlineLevel="0" collapsed="false">
      <c r="E53" s="19"/>
      <c r="F53" s="19"/>
    </row>
    <row r="54" customFormat="false" ht="15" hidden="false" customHeight="false" outlineLevel="0" collapsed="false">
      <c r="E54" s="19"/>
      <c r="F54" s="19"/>
    </row>
    <row r="55" customFormat="false" ht="15" hidden="false" customHeight="false" outlineLevel="0" collapsed="false">
      <c r="F55" s="19"/>
    </row>
    <row r="56" customFormat="false" ht="15" hidden="false" customHeight="false" outlineLevel="0" collapsed="false">
      <c r="A56" s="0" t="s">
        <v>281</v>
      </c>
      <c r="D56" s="19" t="n">
        <v>4000</v>
      </c>
    </row>
    <row r="57" customFormat="false" ht="15" hidden="false" customHeight="false" outlineLevel="0" collapsed="false">
      <c r="E57" s="19"/>
    </row>
    <row r="58" customFormat="false" ht="15" hidden="false" customHeight="false" outlineLevel="0" collapsed="false">
      <c r="A58" s="0" t="s">
        <v>60</v>
      </c>
      <c r="D58" s="19" t="n">
        <f aca="false">SUM(D50:D57)</f>
        <v>356691.92</v>
      </c>
      <c r="E58" s="19"/>
      <c r="F58" s="19"/>
    </row>
    <row r="60" customFormat="false" ht="15" hidden="false" customHeight="false" outlineLevel="0" collapsed="false">
      <c r="A60" s="0" t="s">
        <v>282</v>
      </c>
      <c r="D60" s="19" t="n">
        <f aca="false">D58/4200</f>
        <v>84.9266476190476</v>
      </c>
      <c r="E60" s="45"/>
    </row>
    <row r="63" customFormat="false" ht="15" hidden="false" customHeight="false" outlineLevel="0" collapsed="false">
      <c r="A63" s="0" t="s">
        <v>283</v>
      </c>
      <c r="D63" s="19" t="n">
        <v>35000</v>
      </c>
    </row>
    <row r="64" customFormat="false" ht="15" hidden="false" customHeight="false" outlineLevel="0" collapsed="false">
      <c r="A64" s="0" t="s">
        <v>284</v>
      </c>
      <c r="D64" s="19" t="n">
        <v>43000</v>
      </c>
    </row>
    <row r="66" customFormat="false" ht="15" hidden="false" customHeight="false" outlineLevel="0" collapsed="false">
      <c r="A66" s="0" t="s">
        <v>163</v>
      </c>
      <c r="D66" s="19" t="n">
        <f aca="false">SUM(D63:D64)+D58</f>
        <v>434691.92</v>
      </c>
    </row>
    <row r="68" customFormat="false" ht="15" hidden="false" customHeight="false" outlineLevel="0" collapsed="false">
      <c r="A68" s="0" t="s">
        <v>285</v>
      </c>
      <c r="D68" s="19" t="n">
        <f aca="false">D66/4200</f>
        <v>103.498076190476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8.77"/>
  </cols>
  <sheetData>
    <row r="1" customFormat="false" ht="15" hidden="false" customHeight="false" outlineLevel="0" collapsed="false">
      <c r="B1" s="0" t="s">
        <v>286</v>
      </c>
    </row>
    <row r="2" customFormat="false" ht="15" hidden="false" customHeight="false" outlineLevel="0" collapsed="false">
      <c r="A2" s="0" t="s">
        <v>287</v>
      </c>
      <c r="B2" s="0" t="n">
        <f aca="false">+(400000*0.8*0.025)/12</f>
        <v>666.666666666667</v>
      </c>
    </row>
    <row r="4" customFormat="false" ht="15" hidden="false" customHeight="false" outlineLevel="0" collapsed="false">
      <c r="A4" s="0" t="s">
        <v>288</v>
      </c>
      <c r="B4" s="0" t="n">
        <v>100</v>
      </c>
    </row>
    <row r="5" customFormat="false" ht="15" hidden="false" customHeight="false" outlineLevel="0" collapsed="false">
      <c r="A5" s="0" t="s">
        <v>289</v>
      </c>
      <c r="B5" s="0" t="n">
        <v>75</v>
      </c>
    </row>
    <row r="6" customFormat="false" ht="15" hidden="false" customHeight="false" outlineLevel="0" collapsed="false">
      <c r="A6" s="0" t="s">
        <v>290</v>
      </c>
      <c r="B6" s="0" t="n">
        <v>50</v>
      </c>
    </row>
    <row r="7" customFormat="false" ht="15" hidden="false" customHeight="false" outlineLevel="0" collapsed="false">
      <c r="A7" s="0" t="s">
        <v>291</v>
      </c>
      <c r="B7" s="0" t="n">
        <v>50</v>
      </c>
    </row>
    <row r="8" customFormat="false" ht="15" hidden="false" customHeight="false" outlineLevel="0" collapsed="false">
      <c r="A8" s="0" t="s">
        <v>292</v>
      </c>
      <c r="B8" s="0" t="n">
        <v>40</v>
      </c>
    </row>
    <row r="9" customFormat="false" ht="15" hidden="false" customHeight="false" outlineLevel="0" collapsed="false">
      <c r="A9" s="0" t="s">
        <v>293</v>
      </c>
      <c r="B9" s="0" t="n">
        <v>50</v>
      </c>
    </row>
    <row r="10" customFormat="false" ht="15" hidden="false" customHeight="false" outlineLevel="0" collapsed="false">
      <c r="A10" s="0" t="s">
        <v>294</v>
      </c>
      <c r="B10" s="0" t="n">
        <v>100</v>
      </c>
    </row>
    <row r="11" customFormat="false" ht="15" hidden="false" customHeight="false" outlineLevel="0" collapsed="false">
      <c r="A11" s="0" t="s">
        <v>295</v>
      </c>
      <c r="B11" s="0" t="n">
        <v>125</v>
      </c>
    </row>
    <row r="12" customFormat="false" ht="15" hidden="false" customHeight="false" outlineLevel="0" collapsed="false">
      <c r="A12" s="0" t="s">
        <v>296</v>
      </c>
      <c r="B12" s="0" t="n">
        <v>50</v>
      </c>
    </row>
    <row r="13" customFormat="false" ht="15" hidden="false" customHeight="false" outlineLevel="0" collapsed="false">
      <c r="A13" s="0" t="s">
        <v>297</v>
      </c>
      <c r="B13" s="0" t="n">
        <v>750</v>
      </c>
    </row>
    <row r="14" customFormat="false" ht="15" hidden="false" customHeight="false" outlineLevel="0" collapsed="false">
      <c r="A14" s="0" t="s">
        <v>298</v>
      </c>
      <c r="B14" s="0" t="n">
        <v>250</v>
      </c>
    </row>
    <row r="15" customFormat="false" ht="15" hidden="false" customHeight="false" outlineLevel="0" collapsed="false">
      <c r="A15" s="0" t="s">
        <v>299</v>
      </c>
      <c r="B15" s="0" t="n">
        <v>300</v>
      </c>
    </row>
    <row r="16" customFormat="false" ht="15" hidden="false" customHeight="false" outlineLevel="0" collapsed="false">
      <c r="A16" s="0" t="s">
        <v>300</v>
      </c>
      <c r="B16" s="0" t="n">
        <v>300</v>
      </c>
    </row>
    <row r="17" customFormat="false" ht="15" hidden="false" customHeight="false" outlineLevel="0" collapsed="false">
      <c r="A17" s="0" t="s">
        <v>301</v>
      </c>
      <c r="B17" s="0" t="n">
        <v>400</v>
      </c>
    </row>
    <row r="18" customFormat="false" ht="15" hidden="false" customHeight="false" outlineLevel="0" collapsed="false">
      <c r="A18" s="0" t="s">
        <v>302</v>
      </c>
      <c r="B18" s="0" t="n">
        <v>400</v>
      </c>
    </row>
    <row r="19" customFormat="false" ht="15" hidden="false" customHeight="false" outlineLevel="0" collapsed="false">
      <c r="A19" s="0" t="s">
        <v>303</v>
      </c>
      <c r="B19" s="0" t="n">
        <v>250</v>
      </c>
    </row>
    <row r="20" customFormat="false" ht="15" hidden="false" customHeight="false" outlineLevel="0" collapsed="false">
      <c r="A20" s="0" t="s">
        <v>304</v>
      </c>
      <c r="B20" s="0" t="n">
        <v>250</v>
      </c>
    </row>
    <row r="21" customFormat="false" ht="15" hidden="false" customHeight="false" outlineLevel="0" collapsed="false">
      <c r="A21" s="0" t="s">
        <v>305</v>
      </c>
      <c r="B21" s="0" t="n">
        <v>1000</v>
      </c>
    </row>
    <row r="22" customFormat="false" ht="15" hidden="false" customHeight="false" outlineLevel="0" collapsed="false">
      <c r="A22" s="0" t="s">
        <v>306</v>
      </c>
      <c r="B22" s="0" t="n">
        <v>300</v>
      </c>
    </row>
    <row r="23" customFormat="false" ht="15" hidden="false" customHeight="false" outlineLevel="0" collapsed="false">
      <c r="A23" s="0" t="s">
        <v>13</v>
      </c>
      <c r="B23" s="0" t="n">
        <v>200</v>
      </c>
    </row>
    <row r="24" customFormat="false" ht="15" hidden="false" customHeight="false" outlineLevel="0" collapsed="false">
      <c r="A24" s="0" t="s">
        <v>307</v>
      </c>
      <c r="B24" s="0" t="n">
        <v>200</v>
      </c>
    </row>
    <row r="25" customFormat="false" ht="15" hidden="false" customHeight="false" outlineLevel="0" collapsed="false">
      <c r="A25" s="0" t="s">
        <v>308</v>
      </c>
      <c r="B25" s="0" t="n">
        <v>1250</v>
      </c>
    </row>
    <row r="27" customFormat="false" ht="15" hidden="false" customHeight="false" outlineLevel="0" collapsed="false">
      <c r="A27" s="0" t="s">
        <v>309</v>
      </c>
      <c r="B27" s="0" t="n">
        <f aca="false">SUM(B2:B26)</f>
        <v>7156.66666666667</v>
      </c>
    </row>
    <row r="28" customFormat="false" ht="15" hidden="false" customHeight="false" outlineLevel="0" collapsed="false">
      <c r="B28" s="46"/>
    </row>
    <row r="29" customFormat="false" ht="15" hidden="false" customHeight="false" outlineLevel="0" collapsed="false">
      <c r="A29" s="0" t="s">
        <v>310</v>
      </c>
      <c r="B29" s="0" t="n">
        <f aca="false">B27*12</f>
        <v>85880</v>
      </c>
    </row>
    <row r="38" customFormat="false" ht="15" hidden="false" customHeight="false" outlineLevel="0" collapsed="false">
      <c r="B38" s="47"/>
      <c r="C38" s="47"/>
    </row>
    <row r="39" customFormat="false" ht="15" hidden="false" customHeight="false" outlineLevel="0" collapsed="false">
      <c r="B39" s="47"/>
      <c r="C39" s="47"/>
    </row>
    <row r="40" customFormat="false" ht="15" hidden="false" customHeight="false" outlineLevel="0" collapsed="false">
      <c r="B40" s="47"/>
      <c r="C40" s="47"/>
    </row>
    <row r="41" customFormat="false" ht="15" hidden="false" customHeight="false" outlineLevel="0" collapsed="false">
      <c r="B41" s="47"/>
      <c r="C41" s="47"/>
    </row>
    <row r="42" customFormat="false" ht="15" hidden="false" customHeight="false" outlineLevel="0" collapsed="false">
      <c r="B42" s="47"/>
      <c r="C42" s="47"/>
    </row>
    <row r="43" customFormat="false" ht="15" hidden="false" customHeight="false" outlineLevel="0" collapsed="false">
      <c r="B43" s="47"/>
      <c r="C43" s="47"/>
    </row>
    <row r="44" customFormat="false" ht="15" hidden="false" customHeight="false" outlineLevel="0" collapsed="false">
      <c r="B44" s="47"/>
      <c r="C44" s="47"/>
    </row>
    <row r="45" customFormat="false" ht="15" hidden="false" customHeight="false" outlineLevel="0" collapsed="false">
      <c r="B45" s="47"/>
      <c r="C45" s="47"/>
    </row>
    <row r="46" customFormat="false" ht="15" hidden="false" customHeight="false" outlineLevel="0" collapsed="false">
      <c r="B46" s="47"/>
      <c r="C46" s="47"/>
    </row>
    <row r="47" customFormat="false" ht="15" hidden="false" customHeight="false" outlineLevel="0" collapsed="false">
      <c r="B47" s="47"/>
      <c r="C47" s="47"/>
    </row>
    <row r="48" customFormat="false" ht="15" hidden="false" customHeight="false" outlineLevel="0" collapsed="false">
      <c r="B48" s="47"/>
      <c r="C48" s="47"/>
    </row>
    <row r="49" customFormat="false" ht="15" hidden="false" customHeight="false" outlineLevel="0" collapsed="false">
      <c r="B49" s="47"/>
      <c r="C49" s="47"/>
    </row>
    <row r="50" customFormat="false" ht="15" hidden="false" customHeight="false" outlineLevel="0" collapsed="false">
      <c r="B50" s="47"/>
      <c r="C50" s="47"/>
    </row>
    <row r="51" customFormat="false" ht="15" hidden="false" customHeight="false" outlineLevel="0" collapsed="false">
      <c r="B51" s="47"/>
      <c r="C51" s="47"/>
    </row>
    <row r="52" customFormat="false" ht="15" hidden="false" customHeight="false" outlineLevel="0" collapsed="false">
      <c r="B52" s="47"/>
      <c r="C52" s="47"/>
    </row>
    <row r="53" customFormat="false" ht="15" hidden="false" customHeight="false" outlineLevel="0" collapsed="false">
      <c r="B53" s="47"/>
      <c r="C53" s="47"/>
    </row>
    <row r="54" customFormat="false" ht="15" hidden="false" customHeight="false" outlineLevel="0" collapsed="false">
      <c r="B54" s="47"/>
      <c r="C54" s="47"/>
    </row>
    <row r="55" customFormat="false" ht="15" hidden="false" customHeight="false" outlineLevel="0" collapsed="false">
      <c r="B55" s="47"/>
      <c r="C55" s="47"/>
    </row>
    <row r="56" customFormat="false" ht="15" hidden="false" customHeight="false" outlineLevel="0" collapsed="false">
      <c r="B56" s="47"/>
      <c r="C56" s="47"/>
    </row>
    <row r="57" customFormat="false" ht="15" hidden="false" customHeight="false" outlineLevel="0" collapsed="false">
      <c r="B57" s="47"/>
      <c r="C57" s="47"/>
    </row>
    <row r="58" customFormat="false" ht="15" hidden="false" customHeight="false" outlineLevel="0" collapsed="false">
      <c r="B58" s="47"/>
      <c r="C58" s="47"/>
    </row>
    <row r="59" customFormat="false" ht="15" hidden="false" customHeight="false" outlineLevel="0" collapsed="false">
      <c r="B59" s="47"/>
      <c r="C59" s="47"/>
    </row>
    <row r="60" customFormat="false" ht="15" hidden="false" customHeight="false" outlineLevel="0" collapsed="false">
      <c r="A60" s="47"/>
      <c r="B60" s="47"/>
      <c r="C60" s="47"/>
    </row>
    <row r="61" customFormat="false" ht="15" hidden="false" customHeight="false" outlineLevel="0" collapsed="false">
      <c r="B61" s="47"/>
      <c r="C61" s="47"/>
    </row>
    <row r="62" customFormat="false" ht="15" hidden="false" customHeight="false" outlineLevel="0" collapsed="false">
      <c r="B62" s="47"/>
      <c r="C62" s="47"/>
    </row>
    <row r="63" customFormat="false" ht="15" hidden="false" customHeight="false" outlineLevel="0" collapsed="false">
      <c r="B63" s="47"/>
      <c r="C63" s="47"/>
    </row>
    <row r="64" customFormat="false" ht="15" hidden="false" customHeight="false" outlineLevel="0" collapsed="false">
      <c r="B64" s="47"/>
      <c r="C64" s="47"/>
    </row>
    <row r="65" customFormat="false" ht="15" hidden="false" customHeight="false" outlineLevel="0" collapsed="false">
      <c r="B65" s="47"/>
      <c r="C65" s="47"/>
    </row>
    <row r="66" customFormat="false" ht="15" hidden="false" customHeight="false" outlineLevel="0" collapsed="false">
      <c r="B66" s="47"/>
      <c r="C66" s="47"/>
    </row>
    <row r="67" customFormat="false" ht="15" hidden="false" customHeight="false" outlineLevel="0" collapsed="false">
      <c r="B67" s="47"/>
      <c r="C67" s="47"/>
    </row>
    <row r="68" customFormat="false" ht="15" hidden="false" customHeight="false" outlineLevel="0" collapsed="false">
      <c r="B68" s="47"/>
      <c r="C68" s="47"/>
    </row>
    <row r="69" customFormat="false" ht="15" hidden="false" customHeight="false" outlineLevel="0" collapsed="false">
      <c r="B69" s="47"/>
      <c r="C69" s="47"/>
    </row>
    <row r="70" customFormat="false" ht="15" hidden="false" customHeight="false" outlineLevel="0" collapsed="false">
      <c r="B70" s="47"/>
      <c r="C70" s="47"/>
    </row>
    <row r="71" customFormat="false" ht="15" hidden="false" customHeight="false" outlineLevel="0" collapsed="false">
      <c r="B71" s="47"/>
      <c r="C71" s="47"/>
    </row>
    <row r="72" customFormat="false" ht="15" hidden="false" customHeight="false" outlineLevel="0" collapsed="false">
      <c r="A72" s="0" t="s">
        <v>311</v>
      </c>
      <c r="B72" s="47"/>
      <c r="C72" s="47"/>
    </row>
    <row r="73" customFormat="false" ht="15" hidden="false" customHeight="false" outlineLevel="0" collapsed="false">
      <c r="A73" s="0" t="s">
        <v>312</v>
      </c>
    </row>
    <row r="74" customFormat="false" ht="15" hidden="false" customHeight="false" outlineLevel="0" collapsed="false">
      <c r="A74" s="0" t="s">
        <v>313</v>
      </c>
    </row>
    <row r="80" customFormat="false" ht="15" hidden="false" customHeight="false" outlineLevel="0" collapsed="false">
      <c r="A80" s="0" t="s">
        <v>314</v>
      </c>
    </row>
    <row r="81" customFormat="false" ht="15" hidden="false" customHeight="false" outlineLevel="0" collapsed="false">
      <c r="B81" s="0" t="s">
        <v>315</v>
      </c>
    </row>
    <row r="82" customFormat="false" ht="15" hidden="false" customHeight="false" outlineLevel="0" collapsed="false">
      <c r="A82" s="0" t="s">
        <v>316</v>
      </c>
      <c r="B82" s="0" t="n">
        <v>110</v>
      </c>
    </row>
    <row r="83" customFormat="false" ht="15" hidden="false" customHeight="false" outlineLevel="0" collapsed="false">
      <c r="A83" s="0" t="s">
        <v>317</v>
      </c>
      <c r="B83" s="0" t="n">
        <v>65</v>
      </c>
    </row>
    <row r="84" customFormat="false" ht="15" hidden="false" customHeight="false" outlineLevel="0" collapsed="false">
      <c r="A84" s="0" t="s">
        <v>318</v>
      </c>
      <c r="B84" s="0" t="n">
        <v>150</v>
      </c>
    </row>
    <row r="85" customFormat="false" ht="15" hidden="false" customHeight="false" outlineLevel="0" collapsed="false">
      <c r="A85" s="0" t="s">
        <v>319</v>
      </c>
      <c r="B85" s="0" t="n">
        <v>85</v>
      </c>
    </row>
    <row r="86" customFormat="false" ht="15" hidden="false" customHeight="false" outlineLevel="0" collapsed="false">
      <c r="A86" s="0" t="s">
        <v>320</v>
      </c>
      <c r="B86" s="0" t="n">
        <v>65</v>
      </c>
    </row>
    <row r="87" customFormat="false" ht="15" hidden="false" customHeight="false" outlineLevel="0" collapsed="false">
      <c r="A87" s="0" t="s">
        <v>321</v>
      </c>
      <c r="B87" s="44" t="n">
        <v>110</v>
      </c>
      <c r="C87" s="44"/>
    </row>
    <row r="88" customFormat="false" ht="15" hidden="false" customHeight="false" outlineLevel="0" collapsed="false">
      <c r="A88" s="0" t="s">
        <v>322</v>
      </c>
      <c r="B88" s="0" t="n">
        <f aca="false">SUM(B82:B87)</f>
        <v>585</v>
      </c>
    </row>
    <row r="92" customFormat="false" ht="15" hidden="false" customHeight="false" outlineLevel="0" collapsed="false">
      <c r="A92" s="0" t="s">
        <v>323</v>
      </c>
      <c r="B92" s="0" t="n">
        <v>6000</v>
      </c>
      <c r="C92" s="0" t="n">
        <v>1500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C32" activeCellId="0" sqref="C32"/>
    </sheetView>
  </sheetViews>
  <sheetFormatPr defaultColWidth="8.90234375" defaultRowHeight="15" customHeight="true" zeroHeight="false" outlineLevelRow="0" outlineLevelCol="0"/>
  <cols>
    <col collapsed="false" customWidth="true" hidden="false" outlineLevel="0" max="2" min="2" style="0" width="11.1"/>
  </cols>
  <sheetData>
    <row r="1" customFormat="false" ht="15" hidden="false" customHeight="false" outlineLevel="0" collapsed="false">
      <c r="B1" s="0" t="s">
        <v>324</v>
      </c>
      <c r="C1" s="0" t="s">
        <v>325</v>
      </c>
      <c r="D1" s="0" t="s">
        <v>326</v>
      </c>
      <c r="E1" s="0" t="s">
        <v>74</v>
      </c>
      <c r="F1" s="0" t="s">
        <v>75</v>
      </c>
    </row>
    <row r="3" customFormat="false" ht="15" hidden="false" customHeight="false" outlineLevel="0" collapsed="false">
      <c r="B3" s="48" t="n">
        <v>18.375</v>
      </c>
      <c r="C3" s="0" t="n">
        <v>4584</v>
      </c>
    </row>
    <row r="4" customFormat="false" ht="15" hidden="false" customHeight="false" outlineLevel="0" collapsed="false">
      <c r="B4" s="48"/>
    </row>
    <row r="5" customFormat="false" ht="15" hidden="false" customHeight="false" outlineLevel="0" collapsed="false">
      <c r="B5" s="48" t="n">
        <v>20.0625</v>
      </c>
      <c r="C5" s="0" t="n">
        <v>1600</v>
      </c>
      <c r="E5" s="0" t="n">
        <v>1600</v>
      </c>
    </row>
    <row r="6" customFormat="false" ht="15" hidden="false" customHeight="false" outlineLevel="0" collapsed="false">
      <c r="B6" s="48" t="n">
        <v>31.49</v>
      </c>
      <c r="C6" s="0" t="n">
        <v>3124</v>
      </c>
      <c r="E6" s="0" t="n">
        <v>3124</v>
      </c>
      <c r="F6" s="0" t="n">
        <v>3124</v>
      </c>
    </row>
    <row r="7" customFormat="false" ht="15" hidden="false" customHeight="false" outlineLevel="0" collapsed="false">
      <c r="B7" s="48" t="n">
        <v>55.5</v>
      </c>
      <c r="C7" s="0" t="n">
        <v>2565</v>
      </c>
      <c r="E7" s="0" t="n">
        <v>2565</v>
      </c>
    </row>
    <row r="8" customFormat="false" ht="15" hidden="false" customHeight="false" outlineLevel="0" collapsed="false">
      <c r="B8" s="48" t="n">
        <v>76</v>
      </c>
      <c r="C8" s="0" t="n">
        <v>2381</v>
      </c>
      <c r="E8" s="0" t="n">
        <v>2381</v>
      </c>
      <c r="F8" s="0" t="n">
        <v>2381</v>
      </c>
    </row>
    <row r="9" customFormat="false" ht="15" hidden="false" customHeight="false" outlineLevel="0" collapsed="false">
      <c r="B9" s="48"/>
    </row>
    <row r="10" customFormat="false" ht="15" hidden="false" customHeight="false" outlineLevel="0" collapsed="false">
      <c r="B10" s="0" t="n">
        <v>75</v>
      </c>
      <c r="C10" s="0" t="n">
        <f aca="false">1750000/25*0.45</f>
        <v>31500</v>
      </c>
      <c r="D10" s="0" t="n">
        <f aca="false">1750000/25*0.15</f>
        <v>10500</v>
      </c>
      <c r="E10" s="0" t="n">
        <f aca="false">1750000/25*0.15</f>
        <v>10500</v>
      </c>
      <c r="F10" s="0" t="n">
        <f aca="false">1750000/25*0.25</f>
        <v>17500</v>
      </c>
    </row>
    <row r="12" customFormat="false" ht="15" hidden="false" customHeight="false" outlineLevel="0" collapsed="false">
      <c r="B12" s="0" t="s">
        <v>208</v>
      </c>
      <c r="C12" s="0" t="n">
        <f aca="false">SUM(C3:C10)</f>
        <v>45754</v>
      </c>
      <c r="D12" s="0" t="n">
        <f aca="false">SUM(D3:D10)</f>
        <v>10500</v>
      </c>
      <c r="E12" s="0" t="n">
        <f aca="false">SUM(E3:E10)</f>
        <v>20170</v>
      </c>
      <c r="F12" s="0" t="n">
        <f aca="false">SUM(F3:F10)</f>
        <v>23005</v>
      </c>
    </row>
    <row r="14" customFormat="false" ht="15" hidden="false" customHeight="false" outlineLevel="0" collapsed="false">
      <c r="B14" s="0" t="s">
        <v>327</v>
      </c>
      <c r="C14" s="0" t="n">
        <f aca="false">C3+C5+C6+C7</f>
        <v>11873</v>
      </c>
      <c r="E14" s="0" t="n">
        <f aca="false">E3+E5+E6+E7</f>
        <v>7289</v>
      </c>
      <c r="F14" s="0" t="n">
        <f aca="false">F3+F5+F6+F7</f>
        <v>3124</v>
      </c>
    </row>
    <row r="15" customFormat="false" ht="15" hidden="false" customHeight="false" outlineLevel="0" collapsed="false">
      <c r="A15" s="0" t="s">
        <v>328</v>
      </c>
    </row>
    <row r="16" customFormat="false" ht="15" hidden="false" customHeight="false" outlineLevel="0" collapsed="false">
      <c r="B16" s="0" t="s">
        <v>329</v>
      </c>
      <c r="C16" s="0" t="n">
        <f aca="false">C8+C10</f>
        <v>33881</v>
      </c>
      <c r="D16" s="0" t="n">
        <f aca="false">D8+D10</f>
        <v>10500</v>
      </c>
      <c r="E16" s="0" t="n">
        <f aca="false">E8+E10</f>
        <v>12881</v>
      </c>
      <c r="F16" s="0" t="n">
        <f aca="false">F8+F10</f>
        <v>19881</v>
      </c>
    </row>
    <row r="20" customFormat="false" ht="15" hidden="false" customHeight="false" outlineLevel="0" collapsed="false">
      <c r="B20" s="0" t="s">
        <v>330</v>
      </c>
      <c r="C20" s="0" t="n">
        <v>-30000</v>
      </c>
    </row>
    <row r="21" customFormat="false" ht="15" hidden="false" customHeight="false" outlineLevel="0" collapsed="false">
      <c r="B21" s="0" t="s">
        <v>331</v>
      </c>
      <c r="C21" s="0" t="n">
        <v>-14000</v>
      </c>
      <c r="H21" s="0" t="n">
        <f aca="false">50000*10*0.6</f>
        <v>300000</v>
      </c>
    </row>
    <row r="22" customFormat="false" ht="15" hidden="false" customHeight="false" outlineLevel="0" collapsed="false">
      <c r="B22" s="0" t="s">
        <v>332</v>
      </c>
      <c r="C22" s="0" t="n">
        <v>-5000</v>
      </c>
    </row>
    <row r="23" customFormat="false" ht="15" hidden="false" customHeight="false" outlineLevel="0" collapsed="false">
      <c r="B23" s="0" t="s">
        <v>333</v>
      </c>
      <c r="C23" s="0" t="n">
        <v>-5000</v>
      </c>
    </row>
    <row r="25" customFormat="false" ht="15" hidden="false" customHeight="false" outlineLevel="0" collapsed="false">
      <c r="B25" s="0" t="s">
        <v>334</v>
      </c>
      <c r="C25" s="0" t="n">
        <f aca="false">SUM(C12:C21)</f>
        <v>47508</v>
      </c>
    </row>
    <row r="26" customFormat="false" ht="15" hidden="false" customHeight="false" outlineLevel="0" collapsed="false">
      <c r="A26" s="0" t="n">
        <f aca="false">C26*90</f>
        <v>525000</v>
      </c>
      <c r="B26" s="0" t="s">
        <v>335</v>
      </c>
      <c r="C26" s="0" t="n">
        <f aca="false">1750000/4/75</f>
        <v>5833.33333333333</v>
      </c>
      <c r="E26" s="0" t="n">
        <f aca="false">1750000/4/75</f>
        <v>5833.33333333333</v>
      </c>
      <c r="F26" s="0" t="n">
        <f aca="false">1750000/4/75</f>
        <v>5833.33333333333</v>
      </c>
    </row>
    <row r="29" customFormat="false" ht="15" hidden="false" customHeight="false" outlineLevel="0" collapsed="false">
      <c r="B29" s="0" t="s">
        <v>336</v>
      </c>
      <c r="C29" s="0" t="n">
        <f aca="false">C26+C25</f>
        <v>53341.3333333333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0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J12" activeCellId="0" sqref="J12"/>
    </sheetView>
  </sheetViews>
  <sheetFormatPr defaultColWidth="8.90234375" defaultRowHeight="15" customHeight="true" zeroHeight="false" outlineLevelRow="0" outlineLevelCol="0"/>
  <cols>
    <col collapsed="false" customWidth="true" hidden="false" outlineLevel="0" max="4" min="4" style="0" width="11.55"/>
    <col collapsed="false" customWidth="false" hidden="false" outlineLevel="0" max="5" min="5" style="49" width="8.88"/>
    <col collapsed="false" customWidth="true" hidden="false" outlineLevel="0" max="9" min="8" style="0" width="12.43"/>
    <col collapsed="false" customWidth="true" hidden="false" outlineLevel="0" max="11" min="11" style="0" width="11.65"/>
    <col collapsed="false" customWidth="true" hidden="false" outlineLevel="0" max="12" min="12" style="0" width="9.55"/>
    <col collapsed="false" customWidth="true" hidden="false" outlineLevel="0" max="15" min="15" style="0" width="12.43"/>
  </cols>
  <sheetData>
    <row r="1" customFormat="false" ht="15" hidden="false" customHeight="false" outlineLevel="0" collapsed="false">
      <c r="A1" s="0" t="s">
        <v>337</v>
      </c>
      <c r="D1" s="1" t="n">
        <v>110000</v>
      </c>
      <c r="H1" s="1"/>
      <c r="I1" s="1"/>
      <c r="J1" s="10"/>
      <c r="N1" s="10"/>
    </row>
    <row r="2" customFormat="false" ht="15" hidden="false" customHeight="false" outlineLevel="0" collapsed="false">
      <c r="D2" s="1"/>
      <c r="I2" s="0" t="s">
        <v>338</v>
      </c>
      <c r="J2" s="0" t="s">
        <v>339</v>
      </c>
      <c r="K2" s="0" t="s">
        <v>340</v>
      </c>
    </row>
    <row r="3" customFormat="false" ht="15" hidden="false" customHeight="false" outlineLevel="0" collapsed="false">
      <c r="A3" s="0" t="s">
        <v>341</v>
      </c>
      <c r="D3" s="1" t="n">
        <v>-42500</v>
      </c>
      <c r="E3" s="49" t="n">
        <v>37144</v>
      </c>
      <c r="G3" s="0" t="s">
        <v>338</v>
      </c>
      <c r="I3" s="0" t="n">
        <f aca="false">IF($G3=I$2,$D3,0)</f>
        <v>-42500</v>
      </c>
      <c r="J3" s="0" t="n">
        <f aca="false">IF($G3=J$2,$D3,0)</f>
        <v>0</v>
      </c>
      <c r="K3" s="0" t="n">
        <f aca="false">IF($G3=K$2,$D3,0)</f>
        <v>0</v>
      </c>
      <c r="N3" s="48"/>
    </row>
    <row r="4" customFormat="false" ht="15" hidden="false" customHeight="false" outlineLevel="0" collapsed="false">
      <c r="A4" s="0" t="s">
        <v>342</v>
      </c>
      <c r="D4" s="1" t="n">
        <v>-200000</v>
      </c>
      <c r="E4" s="49" t="n">
        <v>37148</v>
      </c>
      <c r="G4" s="0" t="s">
        <v>339</v>
      </c>
      <c r="I4" s="0" t="n">
        <f aca="false">IF($G4=I$2,$D4,0)</f>
        <v>0</v>
      </c>
      <c r="J4" s="0" t="n">
        <f aca="false">IF($G4=J$2,$D4,0)</f>
        <v>-200000</v>
      </c>
      <c r="K4" s="0" t="n">
        <f aca="false">IF($G4=K$2,$D4,0)</f>
        <v>0</v>
      </c>
      <c r="N4" s="48"/>
    </row>
    <row r="5" customFormat="false" ht="15" hidden="false" customHeight="false" outlineLevel="0" collapsed="false">
      <c r="A5" s="0" t="s">
        <v>121</v>
      </c>
      <c r="D5" s="1" t="n">
        <v>-150000</v>
      </c>
      <c r="E5" s="49" t="n">
        <v>37149</v>
      </c>
      <c r="G5" s="0" t="s">
        <v>340</v>
      </c>
      <c r="I5" s="0" t="n">
        <f aca="false">IF($G5=I$2,$D5,0)</f>
        <v>0</v>
      </c>
      <c r="J5" s="0" t="n">
        <f aca="false">IF($G5=J$2,$D5,0)</f>
        <v>0</v>
      </c>
      <c r="K5" s="0" t="n">
        <f aca="false">IF($G5=K$2,$D5,0)</f>
        <v>-150000</v>
      </c>
      <c r="N5" s="48"/>
    </row>
    <row r="6" customFormat="false" ht="15" hidden="false" customHeight="false" outlineLevel="0" collapsed="false">
      <c r="A6" s="0" t="s">
        <v>343</v>
      </c>
      <c r="D6" s="1" t="n">
        <f aca="false">D32</f>
        <v>559722</v>
      </c>
      <c r="E6" s="49" t="n">
        <v>37159</v>
      </c>
      <c r="G6" s="0" t="s">
        <v>339</v>
      </c>
      <c r="I6" s="0" t="n">
        <f aca="false">IF($G6=I$2,$D6,0)</f>
        <v>0</v>
      </c>
      <c r="J6" s="0" t="n">
        <f aca="false">IF($G6=J$2,$D6,0)</f>
        <v>559722</v>
      </c>
      <c r="K6" s="0" t="n">
        <f aca="false">IF($G6=K$2,$D6,0)</f>
        <v>0</v>
      </c>
      <c r="N6" s="48"/>
    </row>
    <row r="7" customFormat="false" ht="15" hidden="false" customHeight="false" outlineLevel="0" collapsed="false">
      <c r="A7" s="0" t="s">
        <v>344</v>
      </c>
      <c r="D7" s="1" t="n">
        <v>-600000</v>
      </c>
      <c r="E7" s="49" t="n">
        <v>37169</v>
      </c>
      <c r="G7" s="0" t="s">
        <v>339</v>
      </c>
      <c r="I7" s="0" t="n">
        <f aca="false">IF($G7=I$2,$D7,0)</f>
        <v>0</v>
      </c>
      <c r="J7" s="0" t="n">
        <f aca="false">IF($G7=J$2,$D7,0)</f>
        <v>-600000</v>
      </c>
      <c r="K7" s="0" t="n">
        <f aca="false">IF($G7=K$2,$D7,0)</f>
        <v>0</v>
      </c>
      <c r="N7" s="48"/>
    </row>
    <row r="8" customFormat="false" ht="15" hidden="false" customHeight="false" outlineLevel="0" collapsed="false">
      <c r="A8" s="0" t="s">
        <v>345</v>
      </c>
      <c r="D8" s="1" t="n">
        <v>0</v>
      </c>
      <c r="E8" s="49" t="n">
        <v>37196</v>
      </c>
      <c r="G8" s="0" t="s">
        <v>339</v>
      </c>
      <c r="I8" s="0" t="n">
        <f aca="false">IF($G8=I$2,$D8,0)</f>
        <v>0</v>
      </c>
      <c r="J8" s="0" t="n">
        <f aca="false">IF($G8=J$2,$D8,0)</f>
        <v>0</v>
      </c>
      <c r="K8" s="0" t="n">
        <f aca="false">IF($G8=K$2,$D8,0)</f>
        <v>0</v>
      </c>
      <c r="N8" s="48"/>
    </row>
    <row r="9" customFormat="false" ht="15" hidden="false" customHeight="false" outlineLevel="0" collapsed="false">
      <c r="A9" s="0" t="s">
        <v>346</v>
      </c>
      <c r="D9" s="1" t="n">
        <v>-360000</v>
      </c>
      <c r="E9" s="49" t="n">
        <v>37210</v>
      </c>
      <c r="G9" s="0" t="s">
        <v>339</v>
      </c>
      <c r="I9" s="0" t="n">
        <f aca="false">IF($G9=I$2,$D9,0)</f>
        <v>0</v>
      </c>
      <c r="J9" s="0" t="n">
        <f aca="false">IF($G9=J$2,$D9,0)</f>
        <v>-360000</v>
      </c>
      <c r="K9" s="0" t="n">
        <f aca="false">IF($G9=K$2,$D9,0)</f>
        <v>0</v>
      </c>
      <c r="N9" s="48"/>
    </row>
    <row r="10" customFormat="false" ht="15" hidden="false" customHeight="false" outlineLevel="0" collapsed="false">
      <c r="A10" s="0" t="s">
        <v>347</v>
      </c>
      <c r="D10" s="1" t="n">
        <v>25000</v>
      </c>
      <c r="E10" s="49" t="n">
        <v>37257</v>
      </c>
      <c r="G10" s="0" t="s">
        <v>339</v>
      </c>
      <c r="I10" s="0" t="n">
        <f aca="false">IF($G10=I$2,$D10,0)</f>
        <v>0</v>
      </c>
      <c r="J10" s="0" t="n">
        <f aca="false">IF($G10=J$2,$D10,0)</f>
        <v>25000</v>
      </c>
      <c r="K10" s="0" t="n">
        <f aca="false">IF($G10=K$2,$D10,0)</f>
        <v>0</v>
      </c>
      <c r="N10" s="48"/>
    </row>
    <row r="11" customFormat="false" ht="15" hidden="false" customHeight="false" outlineLevel="0" collapsed="false">
      <c r="D11" s="1"/>
      <c r="N11" s="48"/>
    </row>
    <row r="12" customFormat="false" ht="15" hidden="false" customHeight="false" outlineLevel="0" collapsed="false">
      <c r="D12" s="1"/>
      <c r="G12" s="0" t="s">
        <v>60</v>
      </c>
      <c r="I12" s="0" t="n">
        <f aca="false">SUM(I3:I10)</f>
        <v>-42500</v>
      </c>
      <c r="J12" s="0" t="n">
        <f aca="false">SUM(J3:J10)</f>
        <v>-575278</v>
      </c>
      <c r="K12" s="0" t="n">
        <f aca="false">SUM(K3:K10)</f>
        <v>-150000</v>
      </c>
      <c r="N12" s="48"/>
    </row>
    <row r="13" customFormat="false" ht="15" hidden="false" customHeight="false" outlineLevel="0" collapsed="false">
      <c r="D13" s="1"/>
      <c r="N13" s="48"/>
    </row>
    <row r="14" customFormat="false" ht="15" hidden="false" customHeight="false" outlineLevel="0" collapsed="false">
      <c r="D14" s="1"/>
      <c r="N14" s="48"/>
    </row>
    <row r="15" customFormat="false" ht="15" hidden="false" customHeight="false" outlineLevel="0" collapsed="false">
      <c r="D15" s="1"/>
      <c r="N15" s="48"/>
    </row>
    <row r="16" customFormat="false" ht="15" hidden="false" customHeight="false" outlineLevel="0" collapsed="false">
      <c r="A16" s="0" t="s">
        <v>208</v>
      </c>
      <c r="D16" s="1" t="n">
        <f aca="false">SUM(D1:D14)</f>
        <v>-657778</v>
      </c>
      <c r="N16" s="48"/>
    </row>
    <row r="17" customFormat="false" ht="15" hidden="false" customHeight="false" outlineLevel="0" collapsed="false">
      <c r="N17" s="48"/>
    </row>
    <row r="19" customFormat="false" ht="15" hidden="false" customHeight="false" outlineLevel="0" collapsed="false">
      <c r="O19" s="50"/>
    </row>
    <row r="20" customFormat="false" ht="15" hidden="false" customHeight="false" outlineLevel="0" collapsed="false">
      <c r="B20" s="0" t="s">
        <v>348</v>
      </c>
    </row>
    <row r="21" customFormat="false" ht="15" hidden="false" customHeight="false" outlineLevel="0" collapsed="false">
      <c r="B21" s="0" t="s">
        <v>349</v>
      </c>
      <c r="D21" s="0" t="n">
        <v>1900000</v>
      </c>
    </row>
    <row r="22" customFormat="false" ht="15" hidden="false" customHeight="false" outlineLevel="0" collapsed="false">
      <c r="B22" s="0" t="s">
        <v>350</v>
      </c>
      <c r="D22" s="0" t="n">
        <v>0</v>
      </c>
      <c r="H22" s="1"/>
      <c r="I22" s="1"/>
      <c r="J22" s="10"/>
      <c r="N22" s="10"/>
    </row>
    <row r="23" customFormat="false" ht="15" hidden="false" customHeight="false" outlineLevel="0" collapsed="false">
      <c r="B23" s="0" t="s">
        <v>351</v>
      </c>
      <c r="D23" s="0" t="n">
        <f aca="false">(D21+D22)*0.05</f>
        <v>95000</v>
      </c>
    </row>
    <row r="24" customFormat="false" ht="15" hidden="false" customHeight="false" outlineLevel="0" collapsed="false">
      <c r="B24" s="0" t="s">
        <v>352</v>
      </c>
      <c r="D24" s="0" t="n">
        <v>50000</v>
      </c>
      <c r="N24" s="48"/>
    </row>
    <row r="25" customFormat="false" ht="15" hidden="false" customHeight="false" outlineLevel="0" collapsed="false">
      <c r="B25" s="0" t="s">
        <v>353</v>
      </c>
      <c r="D25" s="0" t="n">
        <v>875000</v>
      </c>
      <c r="N25" s="48"/>
    </row>
    <row r="26" customFormat="false" ht="15" hidden="false" customHeight="false" outlineLevel="0" collapsed="false">
      <c r="B26" s="0" t="s">
        <v>354</v>
      </c>
      <c r="D26" s="0" t="n">
        <f aca="false">D21-SUM(D22:D25)</f>
        <v>880000</v>
      </c>
      <c r="N26" s="48"/>
    </row>
    <row r="27" customFormat="false" ht="15" hidden="false" customHeight="false" outlineLevel="0" collapsed="false">
      <c r="B27" s="0" t="s">
        <v>355</v>
      </c>
      <c r="C27" s="0" t="n">
        <f aca="false">D21-D22-D23-D24-110000-1250000</f>
        <v>395000</v>
      </c>
      <c r="N27" s="48"/>
    </row>
    <row r="28" customFormat="false" ht="15" hidden="false" customHeight="false" outlineLevel="0" collapsed="false">
      <c r="B28" s="0" t="s">
        <v>356</v>
      </c>
      <c r="D28" s="0" t="n">
        <f aca="false">C27*0.396</f>
        <v>156420</v>
      </c>
      <c r="N28" s="48"/>
    </row>
    <row r="29" customFormat="false" ht="15" hidden="false" customHeight="false" outlineLevel="0" collapsed="false">
      <c r="B29" s="0" t="s">
        <v>357</v>
      </c>
      <c r="D29" s="0" t="n">
        <f aca="false">D26-D28</f>
        <v>723580</v>
      </c>
      <c r="N29" s="48"/>
    </row>
    <row r="30" customFormat="false" ht="15" hidden="false" customHeight="false" outlineLevel="0" collapsed="false">
      <c r="B30" s="0" t="s">
        <v>358</v>
      </c>
      <c r="D30" s="0" t="n">
        <f aca="false">140000+(C27-D28)*0.1</f>
        <v>163858</v>
      </c>
      <c r="E30" s="49" t="n">
        <v>163858</v>
      </c>
      <c r="N30" s="48"/>
    </row>
    <row r="31" customFormat="false" ht="15" hidden="false" customHeight="false" outlineLevel="0" collapsed="false">
      <c r="N31" s="48"/>
    </row>
    <row r="32" customFormat="false" ht="15" hidden="false" customHeight="false" outlineLevel="0" collapsed="false">
      <c r="B32" s="0" t="s">
        <v>359</v>
      </c>
      <c r="D32" s="0" t="n">
        <f aca="false">D29-D30</f>
        <v>559722</v>
      </c>
      <c r="N32" s="48"/>
    </row>
    <row r="33" customFormat="false" ht="15" hidden="false" customHeight="false" outlineLevel="0" collapsed="false">
      <c r="N33" s="48"/>
    </row>
    <row r="34" customFormat="false" ht="15" hidden="false" customHeight="false" outlineLevel="0" collapsed="false">
      <c r="B34" s="0" t="s">
        <v>360</v>
      </c>
      <c r="D34" s="0" t="n">
        <f aca="false">D28*0.9</f>
        <v>140778</v>
      </c>
      <c r="N34" s="48"/>
    </row>
    <row r="35" customFormat="false" ht="15" hidden="false" customHeight="false" outlineLevel="0" collapsed="false">
      <c r="B35" s="0" t="s">
        <v>361</v>
      </c>
      <c r="D35" s="0" t="n">
        <f aca="false">C27-D34</f>
        <v>254222</v>
      </c>
      <c r="N35" s="48"/>
    </row>
    <row r="36" customFormat="false" ht="15" hidden="false" customHeight="false" outlineLevel="0" collapsed="false">
      <c r="N36" s="48"/>
    </row>
    <row r="37" customFormat="false" ht="15" hidden="false" customHeight="false" outlineLevel="0" collapsed="false">
      <c r="N37" s="48"/>
    </row>
    <row r="38" customFormat="false" ht="15" hidden="false" customHeight="false" outlineLevel="0" collapsed="false">
      <c r="N38" s="48"/>
    </row>
    <row r="40" customFormat="false" ht="15" hidden="false" customHeight="false" outlineLevel="0" collapsed="false">
      <c r="O40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1999-03-04T00:35:25Z</dcterms:created>
  <dc:creator>phillip</dc:creator>
  <dc:description/>
  <dc:language>en-US</dc:language>
  <cp:lastModifiedBy>pallen</cp:lastModifiedBy>
  <cp:lastPrinted>2000-12-30T02:23:29Z</cp:lastPrinted>
  <dcterms:modified xsi:type="dcterms:W3CDTF">2001-09-06T16:21:53Z</dcterms:modified>
  <cp:revision>0</cp:revision>
  <dc:subject/>
  <dc:title>Positions</dc:title>
</cp:coreProperties>
</file>