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T Plan" sheetId="1" state="visible" r:id="rId3"/>
    <sheet name="Assets" sheetId="2" state="visible" r:id="rId4"/>
    <sheet name="House" sheetId="3" state="visible" r:id="rId5"/>
    <sheet name="Fut.Budg" sheetId="4" state="visible" r:id="rId6"/>
    <sheet name="vesting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<sst xmlns="http://schemas.openxmlformats.org/spreadsheetml/2006/main" count="437" uniqueCount="372">
  <si>
    <t xml:space="preserve">Goals</t>
  </si>
  <si>
    <t xml:space="preserve">trading</t>
  </si>
  <si>
    <t xml:space="preserve">retirement</t>
  </si>
  <si>
    <t xml:space="preserve">More family time</t>
  </si>
  <si>
    <t xml:space="preserve">pros</t>
  </si>
  <si>
    <t xml:space="preserve">Less stress</t>
  </si>
  <si>
    <t xml:space="preserve">high pay</t>
  </si>
  <si>
    <t xml:space="preserve">family</t>
  </si>
  <si>
    <t xml:space="preserve">cash from buyer</t>
  </si>
  <si>
    <t xml:space="preserve">cash to seller</t>
  </si>
  <si>
    <t xml:space="preserve">Leave Houston</t>
  </si>
  <si>
    <t xml:space="preserve">time passes fast</t>
  </si>
  <si>
    <t xml:space="preserve">freedom</t>
  </si>
  <si>
    <t xml:space="preserve">stage</t>
  </si>
  <si>
    <t xml:space="preserve">More outdoor activity</t>
  </si>
  <si>
    <t xml:space="preserve">good at it??</t>
  </si>
  <si>
    <t xml:space="preserve">leisure activities</t>
  </si>
  <si>
    <t xml:space="preserve">commision</t>
  </si>
  <si>
    <t xml:space="preserve">Heather's dream house</t>
  </si>
  <si>
    <t xml:space="preserve">create dream life?</t>
  </si>
  <si>
    <t xml:space="preserve">title policy</t>
  </si>
  <si>
    <t xml:space="preserve">More church/volunteer time</t>
  </si>
  <si>
    <t xml:space="preserve">no stress</t>
  </si>
  <si>
    <t xml:space="preserve">note</t>
  </si>
  <si>
    <t xml:space="preserve">Hobbies</t>
  </si>
  <si>
    <t xml:space="preserve">dream house</t>
  </si>
  <si>
    <t xml:space="preserve">assumption</t>
  </si>
  <si>
    <t xml:space="preserve">Find enjoyable part time work</t>
  </si>
  <si>
    <t xml:space="preserve">charitable time</t>
  </si>
  <si>
    <t xml:space="preserve">legal fees</t>
  </si>
  <si>
    <t xml:space="preserve">2nd lien</t>
  </si>
  <si>
    <t xml:space="preserve">cash</t>
  </si>
  <si>
    <t xml:space="preserve">Work</t>
  </si>
  <si>
    <t xml:space="preserve">Family</t>
  </si>
  <si>
    <t xml:space="preserve">Play</t>
  </si>
  <si>
    <t xml:space="preserve">Charity</t>
  </si>
  <si>
    <t xml:space="preserve">Coach</t>
  </si>
  <si>
    <t xml:space="preserve">Exercise</t>
  </si>
  <si>
    <t xml:space="preserve">Money</t>
  </si>
  <si>
    <t xml:space="preserve">cons</t>
  </si>
  <si>
    <t xml:space="preserve">Own Prop.</t>
  </si>
  <si>
    <t xml:space="preserve">Education</t>
  </si>
  <si>
    <t xml:space="preserve">Bike</t>
  </si>
  <si>
    <t xml:space="preserve">Time</t>
  </si>
  <si>
    <t xml:space="preserve">emotional roller coaster</t>
  </si>
  <si>
    <t xml:space="preserve">no paycheck</t>
  </si>
  <si>
    <t xml:space="preserve">noi</t>
  </si>
  <si>
    <t xml:space="preserve">Teach</t>
  </si>
  <si>
    <t xml:space="preserve">Camp</t>
  </si>
  <si>
    <t xml:space="preserve">Golf/Tennis</t>
  </si>
  <si>
    <t xml:space="preserve">Church</t>
  </si>
  <si>
    <t xml:space="preserve">all consuming</t>
  </si>
  <si>
    <t xml:space="preserve">no purpose</t>
  </si>
  <si>
    <t xml:space="preserve">1 st note</t>
  </si>
  <si>
    <t xml:space="preserve">Real Est.</t>
  </si>
  <si>
    <t xml:space="preserve">Tennis</t>
  </si>
  <si>
    <t xml:space="preserve">Karate</t>
  </si>
  <si>
    <t xml:space="preserve">Habitat </t>
  </si>
  <si>
    <t xml:space="preserve">houston</t>
  </si>
  <si>
    <t xml:space="preserve">no contact w/ smart people</t>
  </si>
  <si>
    <t xml:space="preserve">2nd note</t>
  </si>
  <si>
    <t xml:space="preserve">Develop</t>
  </si>
  <si>
    <t xml:space="preserve">Golf</t>
  </si>
  <si>
    <t xml:space="preserve">Music Lesson</t>
  </si>
  <si>
    <t xml:space="preserve">Child Advocate</t>
  </si>
  <si>
    <t xml:space="preserve">boring?</t>
  </si>
  <si>
    <t xml:space="preserve">cash flow</t>
  </si>
  <si>
    <t xml:space="preserve">House Bldr</t>
  </si>
  <si>
    <t xml:space="preserve">Lots of time</t>
  </si>
  <si>
    <t xml:space="preserve">Sailing</t>
  </si>
  <si>
    <t xml:space="preserve">return on cash</t>
  </si>
  <si>
    <t xml:space="preserve">Trade</t>
  </si>
  <si>
    <t xml:space="preserve">Boating</t>
  </si>
  <si>
    <t xml:space="preserve">Accountant</t>
  </si>
  <si>
    <t xml:space="preserve">Summer trips</t>
  </si>
  <si>
    <t xml:space="preserve">Enron??</t>
  </si>
  <si>
    <t xml:space="preserve">H-dream house</t>
  </si>
  <si>
    <t xml:space="preserve">Dream day</t>
  </si>
  <si>
    <t xml:space="preserve">part-time/</t>
  </si>
  <si>
    <t xml:space="preserve">6:00-7:15</t>
  </si>
  <si>
    <t xml:space="preserve">apts. Only</t>
  </si>
  <si>
    <t xml:space="preserve">7:15-8:15</t>
  </si>
  <si>
    <t xml:space="preserve">Breakfast &amp; Dressed</t>
  </si>
  <si>
    <t xml:space="preserve">wages aft.enron</t>
  </si>
  <si>
    <t xml:space="preserve">8:30-12:00</t>
  </si>
  <si>
    <t xml:space="preserve">12:00-1:00</t>
  </si>
  <si>
    <t xml:space="preserve">Lunch</t>
  </si>
  <si>
    <t xml:space="preserve">Retirement Schedule</t>
  </si>
  <si>
    <t xml:space="preserve">Years before 55</t>
  </si>
  <si>
    <t xml:space="preserve">1:00-3:00</t>
  </si>
  <si>
    <t xml:space="preserve">Afternoon Activity</t>
  </si>
  <si>
    <t xml:space="preserve">alt. W/ Heather</t>
  </si>
  <si>
    <t xml:space="preserve">inflation rate</t>
  </si>
  <si>
    <t xml:space="preserve">3:30-5:30</t>
  </si>
  <si>
    <t xml:space="preserve">Take kids to practice</t>
  </si>
  <si>
    <t xml:space="preserve">YR 02-22</t>
  </si>
  <si>
    <t xml:space="preserve">5:30-7:00</t>
  </si>
  <si>
    <t xml:space="preserve">Dinner/Clean up</t>
  </si>
  <si>
    <t xml:space="preserve">beg. Princ</t>
  </si>
  <si>
    <t xml:space="preserve">earnings</t>
  </si>
  <si>
    <t xml:space="preserve">YR 23+</t>
  </si>
  <si>
    <t xml:space="preserve">income required</t>
  </si>
  <si>
    <t xml:space="preserve">tax</t>
  </si>
  <si>
    <t xml:space="preserve">drawdown</t>
  </si>
  <si>
    <t xml:space="preserve">7:00-9:00</t>
  </si>
  <si>
    <t xml:space="preserve">Homework/Relax</t>
  </si>
  <si>
    <t xml:space="preserve">9:00</t>
  </si>
  <si>
    <t xml:space="preserve">Bed time</t>
  </si>
  <si>
    <t xml:space="preserve">teaching</t>
  </si>
  <si>
    <t xml:space="preserve">5:45-6:45</t>
  </si>
  <si>
    <t xml:space="preserve">6:45-7:30</t>
  </si>
  <si>
    <t xml:space="preserve">7:30-3:30</t>
  </si>
  <si>
    <t xml:space="preserve">Activity w/ kids</t>
  </si>
  <si>
    <t xml:space="preserve">Stmt Date</t>
  </si>
  <si>
    <t xml:space="preserve">ENE</t>
  </si>
  <si>
    <t xml:space="preserve">After tax</t>
  </si>
  <si>
    <t xml:space="preserve">options</t>
  </si>
  <si>
    <t xml:space="preserve">current</t>
  </si>
  <si>
    <t xml:space="preserve">liquid</t>
  </si>
  <si>
    <t xml:space="preserve">Compass Bank</t>
  </si>
  <si>
    <t xml:space="preserve">RETIREMENT</t>
  </si>
  <si>
    <t xml:space="preserve">INCOME</t>
  </si>
  <si>
    <t xml:space="preserve">COLLEGE</t>
  </si>
  <si>
    <t xml:space="preserve">4/21/99</t>
  </si>
  <si>
    <t xml:space="preserve">  Checking (0077056025)</t>
  </si>
  <si>
    <t xml:space="preserve">  Savings</t>
  </si>
  <si>
    <t xml:space="preserve">accel phant</t>
  </si>
  <si>
    <t xml:space="preserve">Total Cash</t>
  </si>
  <si>
    <t xml:space="preserve">12.31.99</t>
  </si>
  <si>
    <t xml:space="preserve">Futures Account(ED&amp;F Man 816 006 00569)</t>
  </si>
  <si>
    <t xml:space="preserve">401-K</t>
  </si>
  <si>
    <t xml:space="preserve">ESOP</t>
  </si>
  <si>
    <t xml:space="preserve">Cash Plan</t>
  </si>
  <si>
    <t xml:space="preserve">        Total</t>
  </si>
  <si>
    <t xml:space="preserve">GRANT</t>
  </si>
  <si>
    <t xml:space="preserve">MARKET</t>
  </si>
  <si>
    <t xml:space="preserve">10/30</t>
  </si>
  <si>
    <t xml:space="preserve">Paine Weber</t>
  </si>
  <si>
    <t xml:space="preserve">7/27,8/8,8/17,9/14</t>
  </si>
  <si>
    <t xml:space="preserve">10/13</t>
  </si>
  <si>
    <t xml:space="preserve">12/11</t>
  </si>
  <si>
    <t xml:space="preserve">12/12</t>
  </si>
  <si>
    <t xml:space="preserve">12/20</t>
  </si>
  <si>
    <t xml:space="preserve">1/23</t>
  </si>
  <si>
    <t xml:space="preserve">Short Jan 02 $90 calls</t>
  </si>
  <si>
    <t xml:space="preserve">1/24</t>
  </si>
  <si>
    <t xml:space="preserve">Short 1000 ene</t>
  </si>
  <si>
    <t xml:space="preserve">3/5</t>
  </si>
  <si>
    <t xml:space="preserve">ene</t>
  </si>
  <si>
    <t xml:space="preserve">3/12</t>
  </si>
  <si>
    <t xml:space="preserve">Short Jan 02 $60 calls</t>
  </si>
  <si>
    <t xml:space="preserve">Total paine weber</t>
  </si>
  <si>
    <t xml:space="preserve">AETNA</t>
  </si>
  <si>
    <t xml:space="preserve">WATERHOUSE(350-39877-1-5)</t>
  </si>
  <si>
    <t xml:space="preserve">   APM</t>
  </si>
  <si>
    <t xml:space="preserve">      Total Waterhouse</t>
  </si>
  <si>
    <t xml:space="preserve">SMITH BARNEY(104-17191-11 467)</t>
  </si>
  <si>
    <t xml:space="preserve">Cash</t>
  </si>
  <si>
    <t xml:space="preserve">Short 5000 Jan 02 $50 calls</t>
  </si>
  <si>
    <t xml:space="preserve">Short 5000 Jan 02 $70 calls</t>
  </si>
  <si>
    <t xml:space="preserve">       Total S. B.</t>
  </si>
  <si>
    <t xml:space="preserve">IRA</t>
  </si>
  <si>
    <t xml:space="preserve">   Schwab-Phillip</t>
  </si>
  <si>
    <t xml:space="preserve">MSFT</t>
  </si>
  <si>
    <t xml:space="preserve">SPY</t>
  </si>
  <si>
    <t xml:space="preserve">CASH</t>
  </si>
  <si>
    <t xml:space="preserve">   Schwab-Heather</t>
  </si>
  <si>
    <t xml:space="preserve">1.14.00</t>
  </si>
  <si>
    <t xml:space="preserve">qqq</t>
  </si>
  <si>
    <t xml:space="preserve">American Century Mutual Fund</t>
  </si>
  <si>
    <t xml:space="preserve">3/31/99</t>
  </si>
  <si>
    <t xml:space="preserve">   022-001060395</t>
  </si>
  <si>
    <t xml:space="preserve">   022-001562819</t>
  </si>
  <si>
    <t xml:space="preserve">      Total College</t>
  </si>
  <si>
    <t xml:space="preserve">Vanguard Index 500 (9900359140)</t>
  </si>
  <si>
    <t xml:space="preserve">Janus </t>
  </si>
  <si>
    <t xml:space="preserve">   Twenty</t>
  </si>
  <si>
    <t xml:space="preserve">   Mercury</t>
  </si>
  <si>
    <t xml:space="preserve">   Enterprise</t>
  </si>
  <si>
    <t xml:space="preserve">     Total Janus</t>
  </si>
  <si>
    <t xml:space="preserve">2nd Baptist</t>
  </si>
  <si>
    <t xml:space="preserve">   Fidelity Magellan</t>
  </si>
  <si>
    <t xml:space="preserve">   Fidelity Contrafund</t>
  </si>
  <si>
    <t xml:space="preserve">   Fidelity Pacific Basin</t>
  </si>
  <si>
    <t xml:space="preserve">      Total</t>
  </si>
  <si>
    <t xml:space="preserve">Long Term Comp</t>
  </si>
  <si>
    <t xml:space="preserve">  Phantom 1</t>
  </si>
  <si>
    <t xml:space="preserve">  Phantom 2</t>
  </si>
  <si>
    <t xml:space="preserve">  Phantom 3</t>
  </si>
  <si>
    <t xml:space="preserve">Deferral Plan 463-06-5796</t>
  </si>
  <si>
    <t xml:space="preserve">Stage Coach Inn</t>
  </si>
  <si>
    <t xml:space="preserve">Grand Total</t>
  </si>
  <si>
    <t xml:space="preserve">Jan 01 vesting</t>
  </si>
  <si>
    <t xml:space="preserve">Jan 02 vesting</t>
  </si>
  <si>
    <t xml:space="preserve">   total</t>
  </si>
  <si>
    <t xml:space="preserve">2/01/2001</t>
  </si>
  <si>
    <t xml:space="preserve">2/01/2002</t>
  </si>
  <si>
    <t xml:space="preserve">2/01/2003</t>
  </si>
  <si>
    <t xml:space="preserve">00 Deferred Salary</t>
  </si>
  <si>
    <t xml:space="preserve">00 bonus</t>
  </si>
  <si>
    <t xml:space="preserve">01 deferred Salary</t>
  </si>
  <si>
    <t xml:space="preserve">02 Bonus</t>
  </si>
  <si>
    <t xml:space="preserve">x</t>
  </si>
  <si>
    <t xml:space="preserve">97 OPT</t>
  </si>
  <si>
    <t xml:space="preserve">98 PHANT</t>
  </si>
  <si>
    <t xml:space="preserve">98 OPT</t>
  </si>
  <si>
    <t xml:space="preserve">99 PHANT</t>
  </si>
  <si>
    <t xml:space="preserve">99 OPT</t>
  </si>
  <si>
    <t xml:space="preserve">00 PHANT</t>
  </si>
  <si>
    <t xml:space="preserve">00 OPT</t>
  </si>
  <si>
    <t xml:space="preserve">8/00 options</t>
  </si>
  <si>
    <t xml:space="preserve">1/01 options</t>
  </si>
  <si>
    <t xml:space="preserve">1/01 PHANT</t>
  </si>
  <si>
    <t xml:space="preserve">TOTAL UNEARNED</t>
  </si>
  <si>
    <t xml:space="preserve">Adjusted Total</t>
  </si>
  <si>
    <t xml:space="preserve"> </t>
  </si>
  <si>
    <t xml:space="preserve">after tax</t>
  </si>
  <si>
    <t xml:space="preserve">QQQ</t>
  </si>
  <si>
    <t xml:space="preserve">   MSFT</t>
  </si>
  <si>
    <t xml:space="preserve">    CSCO</t>
  </si>
  <si>
    <t xml:space="preserve">AMGN</t>
  </si>
  <si>
    <t xml:space="preserve">    C</t>
  </si>
  <si>
    <t xml:space="preserve">CLRS</t>
  </si>
  <si>
    <t xml:space="preserve">.</t>
  </si>
  <si>
    <t xml:space="preserve">NT</t>
  </si>
  <si>
    <t xml:space="preserve">WCOM</t>
  </si>
  <si>
    <t xml:space="preserve">    AXP</t>
  </si>
  <si>
    <t xml:space="preserve">JDSU</t>
  </si>
  <si>
    <t xml:space="preserve">    GE</t>
  </si>
  <si>
    <t xml:space="preserve">case 1</t>
  </si>
  <si>
    <t xml:space="preserve">case 2</t>
  </si>
  <si>
    <t xml:space="preserve">land</t>
  </si>
  <si>
    <t xml:space="preserve">interim</t>
  </si>
  <si>
    <t xml:space="preserve">common areas</t>
  </si>
  <si>
    <t xml:space="preserve">sitework</t>
  </si>
  <si>
    <t xml:space="preserve">unit cost</t>
  </si>
  <si>
    <t xml:space="preserve">profit &amp; overhead(15%)</t>
  </si>
  <si>
    <t xml:space="preserve">total</t>
  </si>
  <si>
    <t xml:space="preserve">cost/unit (134)</t>
  </si>
  <si>
    <t xml:space="preserve">loan amount(80%cost)</t>
  </si>
  <si>
    <t xml:space="preserve">NOI</t>
  </si>
  <si>
    <t xml:space="preserve">appraisal</t>
  </si>
  <si>
    <t xml:space="preserve">perm. Loan amount</t>
  </si>
  <si>
    <t xml:space="preserve">debt service</t>
  </si>
  <si>
    <t xml:space="preserve">cash after d.s.</t>
  </si>
  <si>
    <t xml:space="preserve">invested equity</t>
  </si>
  <si>
    <t xml:space="preserve">Goal</t>
  </si>
  <si>
    <t xml:space="preserve">minimum</t>
  </si>
  <si>
    <t xml:space="preserve">goal</t>
  </si>
  <si>
    <t xml:space="preserve">most likely</t>
  </si>
  <si>
    <t xml:space="preserve">House</t>
  </si>
  <si>
    <t xml:space="preserve">Retirement(Stock)</t>
  </si>
  <si>
    <t xml:space="preserve">1st year</t>
  </si>
  <si>
    <t xml:space="preserve">Income Funds</t>
  </si>
  <si>
    <t xml:space="preserve">Total</t>
  </si>
  <si>
    <t xml:space="preserve">Income</t>
  </si>
  <si>
    <t xml:space="preserve">Retirement at 50</t>
  </si>
  <si>
    <t xml:space="preserve">College</t>
  </si>
  <si>
    <t xml:space="preserve">Retirement</t>
  </si>
  <si>
    <t xml:space="preserve">assuming 10%</t>
  </si>
  <si>
    <t xml:space="preserve">Real Estate</t>
  </si>
  <si>
    <t xml:space="preserve">Equities</t>
  </si>
  <si>
    <t xml:space="preserve">New Business</t>
  </si>
  <si>
    <t xml:space="preserve">Bonds</t>
  </si>
  <si>
    <t xml:space="preserve">   Stage Coach</t>
  </si>
  <si>
    <t xml:space="preserve">   Class B Apt</t>
  </si>
  <si>
    <t xml:space="preserve">   Elderly</t>
  </si>
  <si>
    <t xml:space="preserve">   Development</t>
  </si>
  <si>
    <t xml:space="preserve">   Resort</t>
  </si>
  <si>
    <t xml:space="preserve">Commercial</t>
  </si>
  <si>
    <t xml:space="preserve"># of units</t>
  </si>
  <si>
    <t xml:space="preserve">per unit cost</t>
  </si>
  <si>
    <t xml:space="preserve">Total cost</t>
  </si>
  <si>
    <t xml:space="preserve">Conventional</t>
  </si>
  <si>
    <t xml:space="preserve">faswall shell</t>
  </si>
  <si>
    <t xml:space="preserve">Slab</t>
  </si>
  <si>
    <t xml:space="preserve">Frame</t>
  </si>
  <si>
    <t xml:space="preserve">Windows</t>
  </si>
  <si>
    <t xml:space="preserve">roof</t>
  </si>
  <si>
    <t xml:space="preserve">outside w</t>
  </si>
  <si>
    <t xml:space="preserve">exterior</t>
  </si>
  <si>
    <t xml:space="preserve">inside w</t>
  </si>
  <si>
    <t xml:space="preserve">a/c</t>
  </si>
  <si>
    <t xml:space="preserve">end wall</t>
  </si>
  <si>
    <t xml:space="preserve">plumb</t>
  </si>
  <si>
    <t xml:space="preserve">electric</t>
  </si>
  <si>
    <t xml:space="preserve">garage doors</t>
  </si>
  <si>
    <t xml:space="preserve">floor</t>
  </si>
  <si>
    <t xml:space="preserve">ext door</t>
  </si>
  <si>
    <t xml:space="preserve">cabinet-kitchen</t>
  </si>
  <si>
    <t xml:space="preserve">windows</t>
  </si>
  <si>
    <t xml:space="preserve">counter-kitchen</t>
  </si>
  <si>
    <t xml:space="preserve">appliances</t>
  </si>
  <si>
    <t xml:space="preserve">lights&amp;fans</t>
  </si>
  <si>
    <t xml:space="preserve">sheetrock</t>
  </si>
  <si>
    <t xml:space="preserve">interior doors</t>
  </si>
  <si>
    <t xml:space="preserve">exterior doors</t>
  </si>
  <si>
    <t xml:space="preserve">trim</t>
  </si>
  <si>
    <t xml:space="preserve">fireplaces</t>
  </si>
  <si>
    <t xml:space="preserve">stairs+railings</t>
  </si>
  <si>
    <t xml:space="preserve">garage door</t>
  </si>
  <si>
    <t xml:space="preserve">4 baths</t>
  </si>
  <si>
    <t xml:space="preserve">paint</t>
  </si>
  <si>
    <t xml:space="preserve">design</t>
  </si>
  <si>
    <t xml:space="preserve">insulation</t>
  </si>
  <si>
    <t xml:space="preserve">driveway</t>
  </si>
  <si>
    <t xml:space="preserve">landscape</t>
  </si>
  <si>
    <t xml:space="preserve">well&amp;septic&amp;rain</t>
  </si>
  <si>
    <t xml:space="preserve">Sub-total</t>
  </si>
  <si>
    <t xml:space="preserve">contractor fee</t>
  </si>
  <si>
    <t xml:space="preserve">Per sq. ft.</t>
  </si>
  <si>
    <t xml:space="preserve">Pool</t>
  </si>
  <si>
    <t xml:space="preserve">Sport Court</t>
  </si>
  <si>
    <t xml:space="preserve">Boat</t>
  </si>
  <si>
    <t xml:space="preserve">Furnishings</t>
  </si>
  <si>
    <t xml:space="preserve">San Marcos</t>
  </si>
  <si>
    <t xml:space="preserve">Frugal</t>
  </si>
  <si>
    <t xml:space="preserve">Real Estate Tax</t>
  </si>
  <si>
    <t xml:space="preserve">House Insurance</t>
  </si>
  <si>
    <t xml:space="preserve">Electric</t>
  </si>
  <si>
    <t xml:space="preserve">Gas/Propane</t>
  </si>
  <si>
    <t xml:space="preserve">Phone</t>
  </si>
  <si>
    <t xml:space="preserve">Internet</t>
  </si>
  <si>
    <t xml:space="preserve">Water</t>
  </si>
  <si>
    <t xml:space="preserve">Car Insurance</t>
  </si>
  <si>
    <t xml:space="preserve">Gas</t>
  </si>
  <si>
    <t xml:space="preserve">Car Maintenance</t>
  </si>
  <si>
    <t xml:space="preserve">Groceries</t>
  </si>
  <si>
    <t xml:space="preserve">Entertain</t>
  </si>
  <si>
    <t xml:space="preserve">Clothes</t>
  </si>
  <si>
    <t xml:space="preserve">Household</t>
  </si>
  <si>
    <t xml:space="preserve">Medical</t>
  </si>
  <si>
    <t xml:space="preserve">Vacation</t>
  </si>
  <si>
    <t xml:space="preserve">Gifts</t>
  </si>
  <si>
    <t xml:space="preserve">X-mas</t>
  </si>
  <si>
    <t xml:space="preserve">Kids School</t>
  </si>
  <si>
    <t xml:space="preserve">Kids Activities</t>
  </si>
  <si>
    <t xml:space="preserve">Pool/Country Club</t>
  </si>
  <si>
    <t xml:space="preserve">Misc</t>
  </si>
  <si>
    <t xml:space="preserve">Total Monthly</t>
  </si>
  <si>
    <t xml:space="preserve">Total Annual</t>
  </si>
  <si>
    <t xml:space="preserve">Stocks</t>
  </si>
  <si>
    <t xml:space="preserve">Property</t>
  </si>
  <si>
    <t xml:space="preserve">Maintenance</t>
  </si>
  <si>
    <t xml:space="preserve">Insurance</t>
  </si>
  <si>
    <t xml:space="preserve">Bishop</t>
  </si>
  <si>
    <t xml:space="preserve">San Antonio</t>
  </si>
  <si>
    <t xml:space="preserve">123</t>
  </si>
  <si>
    <t xml:space="preserve">Townhouse</t>
  </si>
  <si>
    <t xml:space="preserve">Scott</t>
  </si>
  <si>
    <t xml:space="preserve">Harvey</t>
  </si>
  <si>
    <t xml:space="preserve">  Total</t>
  </si>
  <si>
    <t xml:space="preserve">Proposed </t>
  </si>
  <si>
    <t xml:space="preserve">strike</t>
  </si>
  <si>
    <t xml:space="preserve">1/2002</t>
  </si>
  <si>
    <t xml:space="preserve">8/2002</t>
  </si>
  <si>
    <t xml:space="preserve">1/2003</t>
  </si>
  <si>
    <t xml:space="preserve">1/2004</t>
  </si>
  <si>
    <t xml:space="preserve">Deep in the Money</t>
  </si>
  <si>
    <t xml:space="preserve">total owned</t>
  </si>
  <si>
    <t xml:space="preserve">hedges</t>
  </si>
  <si>
    <t xml:space="preserve">1/02 $70 calls</t>
  </si>
  <si>
    <t xml:space="preserve">1/02 $50 calls</t>
  </si>
  <si>
    <t xml:space="preserve">Net deep in money</t>
  </si>
  <si>
    <t xml:space="preserve">Out of Money</t>
  </si>
  <si>
    <t xml:space="preserve">Hedges</t>
  </si>
  <si>
    <t xml:space="preserve">Net Out of Money</t>
  </si>
  <si>
    <t xml:space="preserve">2001 PSU</t>
  </si>
  <si>
    <t xml:space="preserve">1/02 $90 calls</t>
  </si>
  <si>
    <t xml:space="preserve">subtotal</t>
  </si>
  <si>
    <t xml:space="preserve">00 bonus phan.</t>
  </si>
  <si>
    <t xml:space="preserve">total if phantom</t>
  </si>
</sst>
</file>

<file path=xl/styles.xml><?xml version="1.0" encoding="utf-8"?>
<styleSheet xmlns="http://schemas.openxmlformats.org/spreadsheetml/2006/main">
  <numFmts count="12">
    <numFmt numFmtId="164" formatCode="0_)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0.0%"/>
    <numFmt numFmtId="170" formatCode="0.0_)"/>
    <numFmt numFmtId="171" formatCode="mm/dd/yy_)"/>
    <numFmt numFmtId="172" formatCode="[$-409]#,##0_);\(#,##0\)"/>
    <numFmt numFmtId="173" formatCode="_(\$* #,##0_);_(\$* \(#,##0\);_(\$* \-??_);_(@_)"/>
    <numFmt numFmtId="174" formatCode="0.00_)"/>
    <numFmt numFmtId="175" formatCode="0.000_)"/>
  </numFmts>
  <fonts count="1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 MT"/>
      <family val="0"/>
    </font>
    <font>
      <u val="single"/>
      <sz val="12"/>
      <name val="Arial MT"/>
      <family val="0"/>
    </font>
    <font>
      <b val="true"/>
      <sz val="12"/>
      <name val="Arial MT"/>
      <family val="0"/>
    </font>
    <font>
      <sz val="12"/>
      <color rgb="FF000000"/>
      <name val="Arial MT"/>
      <family val="0"/>
    </font>
    <font>
      <b val="true"/>
      <sz val="12"/>
      <color rgb="FF000000"/>
      <name val="Arial MT"/>
      <family val="0"/>
    </font>
    <font>
      <u val="single"/>
      <sz val="12"/>
      <color rgb="FF000000"/>
      <name val="Arial MT"/>
      <family val="0"/>
    </font>
    <font>
      <sz val="12"/>
      <color rgb="FFFF0000"/>
      <name val="Arial MT"/>
      <family val="0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10.11"/>
    <col collapsed="false" customWidth="true" hidden="false" outlineLevel="0" max="3" min="3" style="0" width="9.65"/>
    <col collapsed="false" customWidth="true" hidden="false" outlineLevel="0" max="4" min="4" style="0" width="10.65"/>
    <col collapsed="false" customWidth="true" hidden="false" outlineLevel="0" max="6" min="6" style="0" width="12.55"/>
    <col collapsed="false" customWidth="true" hidden="false" outlineLevel="0" max="7" min="7" style="0" width="10.99"/>
    <col collapsed="false" customWidth="true" hidden="false" outlineLevel="0" max="8" min="8" style="1" width="14.21"/>
    <col collapsed="false" customWidth="true" hidden="false" outlineLevel="0" max="9" min="9" style="1" width="12.88"/>
    <col collapsed="false" customWidth="true" hidden="false" outlineLevel="0" max="10" min="10" style="1" width="11.32"/>
    <col collapsed="false" customWidth="true" hidden="false" outlineLevel="0" max="11" min="11" style="0" width="9.77"/>
    <col collapsed="false" customWidth="true" hidden="false" outlineLevel="0" max="12" min="12" style="1" width="6.55"/>
    <col collapsed="false" customWidth="true" hidden="false" outlineLevel="0" max="14" min="13" style="1" width="15.88"/>
    <col collapsed="false" customWidth="true" hidden="false" outlineLevel="0" max="15" min="15" style="0" width="10.99"/>
    <col collapsed="false" customWidth="true" hidden="false" outlineLevel="0" max="16" min="16" style="0" width="11.88"/>
    <col collapsed="false" customWidth="true" hidden="false" outlineLevel="0" max="17" min="17" style="0" width="12.21"/>
    <col collapsed="false" customWidth="true" hidden="false" outlineLevel="0" max="18" min="18" style="0" width="11.76"/>
    <col collapsed="false" customWidth="true" hidden="false" outlineLevel="0" max="19" min="19" style="0" width="10.88"/>
    <col collapsed="false" customWidth="true" hidden="false" outlineLevel="0" max="21" min="21" style="0" width="17.88"/>
    <col collapsed="false" customWidth="true" hidden="false" outlineLevel="0" max="22" min="22" style="0" width="10.99"/>
  </cols>
  <sheetData>
    <row r="1" customFormat="false" ht="15.75" hidden="false" customHeight="false" outlineLevel="0" collapsed="false">
      <c r="A1" s="2" t="s">
        <v>0</v>
      </c>
      <c r="C1" s="2"/>
      <c r="D1" s="2"/>
      <c r="E1" s="2"/>
      <c r="I1" s="1" t="s">
        <v>1</v>
      </c>
      <c r="K1" s="0" t="s">
        <v>2</v>
      </c>
    </row>
    <row r="2" customFormat="false" ht="17.25" hidden="false" customHeight="false" outlineLevel="0" collapsed="false">
      <c r="A2" s="0" t="s">
        <v>3</v>
      </c>
      <c r="C2" s="3"/>
      <c r="D2" s="3"/>
      <c r="E2" s="3"/>
      <c r="G2" s="4"/>
      <c r="I2" s="5" t="s">
        <v>4</v>
      </c>
      <c r="K2" s="5" t="s">
        <v>4</v>
      </c>
    </row>
    <row r="3" customFormat="false" ht="15" hidden="false" customHeight="false" outlineLevel="0" collapsed="false">
      <c r="A3" s="0" t="s">
        <v>5</v>
      </c>
      <c r="C3" s="3"/>
      <c r="D3" s="3"/>
      <c r="E3" s="3"/>
      <c r="G3" s="6"/>
      <c r="I3" s="1" t="s">
        <v>6</v>
      </c>
      <c r="K3" s="0" t="s">
        <v>7</v>
      </c>
      <c r="P3" s="0" t="s">
        <v>8</v>
      </c>
      <c r="Q3" s="0" t="s">
        <v>9</v>
      </c>
    </row>
    <row r="4" customFormat="false" ht="15" hidden="false" customHeight="false" outlineLevel="0" collapsed="false">
      <c r="A4" s="0" t="s">
        <v>10</v>
      </c>
      <c r="C4" s="3"/>
      <c r="D4" s="3"/>
      <c r="E4" s="3"/>
      <c r="I4" s="1" t="s">
        <v>11</v>
      </c>
      <c r="K4" s="0" t="s">
        <v>12</v>
      </c>
      <c r="O4" s="0" t="s">
        <v>13</v>
      </c>
      <c r="P4" s="0" t="n">
        <v>739000</v>
      </c>
      <c r="Q4" s="0" t="n">
        <f aca="false">P4</f>
        <v>739000</v>
      </c>
    </row>
    <row r="5" customFormat="false" ht="15" hidden="false" customHeight="false" outlineLevel="0" collapsed="false">
      <c r="A5" s="0" t="s">
        <v>14</v>
      </c>
      <c r="C5" s="3"/>
      <c r="D5" s="3"/>
      <c r="E5" s="3"/>
      <c r="I5" s="1" t="s">
        <v>15</v>
      </c>
      <c r="K5" s="0" t="s">
        <v>16</v>
      </c>
      <c r="O5" s="0" t="s">
        <v>17</v>
      </c>
      <c r="Q5" s="0" t="n">
        <f aca="false">Q4*0.05</f>
        <v>36950</v>
      </c>
    </row>
    <row r="6" customFormat="false" ht="15" hidden="false" customHeight="false" outlineLevel="0" collapsed="false">
      <c r="A6" s="0" t="s">
        <v>18</v>
      </c>
      <c r="C6" s="3"/>
      <c r="D6" s="3"/>
      <c r="E6" s="3"/>
      <c r="K6" s="0" t="s">
        <v>19</v>
      </c>
      <c r="O6" s="0" t="s">
        <v>20</v>
      </c>
      <c r="Q6" s="0" t="n">
        <v>5000</v>
      </c>
    </row>
    <row r="7" customFormat="false" ht="15" hidden="false" customHeight="false" outlineLevel="0" collapsed="false">
      <c r="A7" s="0" t="s">
        <v>21</v>
      </c>
      <c r="C7" s="3"/>
      <c r="D7" s="3"/>
      <c r="E7" s="3"/>
      <c r="K7" s="0" t="s">
        <v>22</v>
      </c>
      <c r="O7" s="0" t="s">
        <v>23</v>
      </c>
      <c r="P7" s="0" t="n">
        <v>472500</v>
      </c>
      <c r="Q7" s="0" t="n">
        <f aca="false">P7</f>
        <v>472500</v>
      </c>
    </row>
    <row r="8" customFormat="false" ht="15" hidden="false" customHeight="false" outlineLevel="0" collapsed="false">
      <c r="A8" s="0" t="s">
        <v>24</v>
      </c>
      <c r="C8" s="3"/>
      <c r="D8" s="3"/>
      <c r="E8" s="3"/>
      <c r="K8" s="0" t="s">
        <v>25</v>
      </c>
      <c r="O8" s="0" t="s">
        <v>26</v>
      </c>
      <c r="P8" s="0" t="n">
        <v>7000</v>
      </c>
    </row>
    <row r="9" customFormat="false" ht="15" hidden="false" customHeight="false" outlineLevel="0" collapsed="false">
      <c r="A9" s="0" t="s">
        <v>27</v>
      </c>
      <c r="C9" s="3"/>
      <c r="D9" s="3"/>
      <c r="E9" s="3"/>
      <c r="K9" s="0" t="s">
        <v>28</v>
      </c>
      <c r="O9" s="0" t="s">
        <v>29</v>
      </c>
      <c r="P9" s="0" t="n">
        <v>4000</v>
      </c>
    </row>
    <row r="10" customFormat="false" ht="15" hidden="false" customHeight="false" outlineLevel="0" collapsed="false">
      <c r="C10" s="3"/>
      <c r="D10" s="3"/>
      <c r="E10" s="3"/>
      <c r="O10" s="0" t="s">
        <v>30</v>
      </c>
      <c r="P10" s="0" t="n">
        <v>191600</v>
      </c>
      <c r="Q10" s="0" t="n">
        <f aca="false">P10</f>
        <v>191600</v>
      </c>
    </row>
    <row r="11" customFormat="false" ht="15" hidden="false" customHeight="false" outlineLevel="0" collapsed="false">
      <c r="O11" s="0" t="s">
        <v>31</v>
      </c>
      <c r="P11" s="0" t="n">
        <f aca="false">P4-P7-P10+P8+P9</f>
        <v>85900</v>
      </c>
      <c r="Q11" s="0" t="n">
        <f aca="false">Q4-Q7-Q10-Q6-Q5</f>
        <v>32950</v>
      </c>
    </row>
    <row r="12" customFormat="false" ht="15.75" hidden="false" customHeight="false" outlineLevel="0" collapsed="false">
      <c r="B12" s="2" t="s">
        <v>32</v>
      </c>
      <c r="C12" s="2" t="s">
        <v>33</v>
      </c>
      <c r="D12" s="2" t="s">
        <v>34</v>
      </c>
      <c r="E12" s="2" t="s">
        <v>35</v>
      </c>
      <c r="G12" s="7"/>
    </row>
    <row r="13" customFormat="false" ht="17.25" hidden="false" customHeight="false" outlineLevel="0" collapsed="false">
      <c r="C13" s="0" t="s">
        <v>36</v>
      </c>
      <c r="D13" s="0" t="s">
        <v>37</v>
      </c>
      <c r="E13" s="0" t="s">
        <v>38</v>
      </c>
      <c r="I13" s="5" t="s">
        <v>39</v>
      </c>
      <c r="K13" s="5" t="s">
        <v>39</v>
      </c>
    </row>
    <row r="14" customFormat="false" ht="15" hidden="false" customHeight="false" outlineLevel="0" collapsed="false">
      <c r="B14" s="0" t="s">
        <v>40</v>
      </c>
      <c r="C14" s="0" t="s">
        <v>41</v>
      </c>
      <c r="D14" s="0" t="s">
        <v>42</v>
      </c>
      <c r="E14" s="0" t="s">
        <v>43</v>
      </c>
      <c r="I14" s="1" t="s">
        <v>44</v>
      </c>
      <c r="K14" s="0" t="s">
        <v>45</v>
      </c>
      <c r="O14" s="0" t="s">
        <v>46</v>
      </c>
      <c r="Q14" s="0" t="n">
        <v>110000</v>
      </c>
    </row>
    <row r="15" customFormat="false" ht="15" hidden="false" customHeight="false" outlineLevel="0" collapsed="false">
      <c r="B15" s="0" t="s">
        <v>47</v>
      </c>
      <c r="C15" s="0" t="s">
        <v>48</v>
      </c>
      <c r="D15" s="0" t="s">
        <v>49</v>
      </c>
      <c r="E15" s="0" t="s">
        <v>50</v>
      </c>
      <c r="I15" s="1" t="s">
        <v>51</v>
      </c>
      <c r="K15" s="0" t="s">
        <v>52</v>
      </c>
      <c r="O15" s="0" t="s">
        <v>53</v>
      </c>
      <c r="Q15" s="0" t="n">
        <f aca="false">3941*12</f>
        <v>47292</v>
      </c>
    </row>
    <row r="16" customFormat="false" ht="15" hidden="false" customHeight="false" outlineLevel="0" collapsed="false">
      <c r="B16" s="0" t="s">
        <v>54</v>
      </c>
      <c r="C16" s="0" t="s">
        <v>55</v>
      </c>
      <c r="D16" s="0" t="s">
        <v>56</v>
      </c>
      <c r="E16" s="0" t="s">
        <v>57</v>
      </c>
      <c r="I16" s="1" t="s">
        <v>58</v>
      </c>
      <c r="K16" s="0" t="s">
        <v>59</v>
      </c>
      <c r="O16" s="0" t="s">
        <v>60</v>
      </c>
      <c r="Q16" s="0" t="n">
        <f aca="false">PMT(0.08/12,120,P10)*-12</f>
        <v>27895.6404941837</v>
      </c>
      <c r="S16" s="8"/>
    </row>
    <row r="17" customFormat="false" ht="15" hidden="false" customHeight="false" outlineLevel="0" collapsed="false">
      <c r="B17" s="0" t="s">
        <v>61</v>
      </c>
      <c r="C17" s="0" t="s">
        <v>62</v>
      </c>
      <c r="D17" s="0" t="s">
        <v>63</v>
      </c>
      <c r="E17" s="0" t="s">
        <v>64</v>
      </c>
      <c r="K17" s="0" t="s">
        <v>65</v>
      </c>
      <c r="O17" s="0" t="s">
        <v>66</v>
      </c>
      <c r="Q17" s="0" t="n">
        <f aca="false">Q14-Q15-Q16</f>
        <v>34812.3595058163</v>
      </c>
    </row>
    <row r="18" customFormat="false" ht="15" hidden="false" customHeight="false" outlineLevel="0" collapsed="false">
      <c r="B18" s="0" t="s">
        <v>67</v>
      </c>
      <c r="C18" s="0" t="s">
        <v>68</v>
      </c>
      <c r="D18" s="0" t="s">
        <v>69</v>
      </c>
      <c r="O18" s="0" t="s">
        <v>70</v>
      </c>
      <c r="Q18" s="8" t="n">
        <f aca="false">Q17/P11</f>
        <v>0.40526611764629</v>
      </c>
    </row>
    <row r="19" customFormat="false" ht="15" hidden="false" customHeight="false" outlineLevel="0" collapsed="false">
      <c r="B19" s="0" t="s">
        <v>71</v>
      </c>
      <c r="C19" s="0" t="s">
        <v>50</v>
      </c>
      <c r="D19" s="0" t="s">
        <v>72</v>
      </c>
    </row>
    <row r="20" customFormat="false" ht="15" hidden="false" customHeight="false" outlineLevel="0" collapsed="false">
      <c r="B20" s="0" t="s">
        <v>73</v>
      </c>
      <c r="C20" s="0" t="s">
        <v>74</v>
      </c>
    </row>
    <row r="21" customFormat="false" ht="15" hidden="false" customHeight="false" outlineLevel="0" collapsed="false">
      <c r="B21" s="0" t="s">
        <v>75</v>
      </c>
      <c r="C21" s="0" t="s">
        <v>76</v>
      </c>
    </row>
    <row r="23" customFormat="false" ht="15.75" hidden="false" customHeight="false" outlineLevel="0" collapsed="false">
      <c r="C23" s="2" t="s">
        <v>77</v>
      </c>
    </row>
    <row r="24" customFormat="false" ht="15" hidden="false" customHeight="false" outlineLevel="0" collapsed="false">
      <c r="F24" s="8"/>
    </row>
    <row r="25" customFormat="false" ht="15.75" hidden="false" customHeight="false" outlineLevel="0" collapsed="false">
      <c r="A25" s="9" t="s">
        <v>78</v>
      </c>
      <c r="B25" s="0" t="s">
        <v>79</v>
      </c>
      <c r="C25" s="0" t="s">
        <v>37</v>
      </c>
    </row>
    <row r="26" customFormat="false" ht="15.75" hidden="false" customHeight="false" outlineLevel="0" collapsed="false">
      <c r="A26" s="9" t="s">
        <v>80</v>
      </c>
      <c r="B26" s="0" t="s">
        <v>81</v>
      </c>
      <c r="C26" s="0" t="s">
        <v>82</v>
      </c>
      <c r="Q26" s="0" t="s">
        <v>83</v>
      </c>
      <c r="R26" s="0" t="n">
        <v>500000</v>
      </c>
      <c r="T26" s="10"/>
    </row>
    <row r="27" customFormat="false" ht="15" hidden="false" customHeight="false" outlineLevel="0" collapsed="false">
      <c r="B27" s="0" t="s">
        <v>84</v>
      </c>
      <c r="C27" s="0" t="s">
        <v>32</v>
      </c>
    </row>
    <row r="28" customFormat="false" ht="20.25" hidden="false" customHeight="false" outlineLevel="0" collapsed="false">
      <c r="B28" s="0" t="s">
        <v>85</v>
      </c>
      <c r="C28" s="0" t="s">
        <v>86</v>
      </c>
      <c r="I28" s="11" t="s">
        <v>87</v>
      </c>
      <c r="Q28" s="1"/>
      <c r="R28" s="11" t="s">
        <v>88</v>
      </c>
      <c r="S28" s="1"/>
      <c r="U28" s="1"/>
      <c r="V28" s="1"/>
    </row>
    <row r="29" customFormat="false" ht="15" hidden="false" customHeight="false" outlineLevel="0" collapsed="false">
      <c r="B29" s="0" t="s">
        <v>89</v>
      </c>
      <c r="C29" s="0" t="s">
        <v>90</v>
      </c>
      <c r="Q29" s="1"/>
      <c r="R29" s="1"/>
      <c r="S29" s="1"/>
      <c r="U29" s="1"/>
      <c r="V29" s="1"/>
    </row>
    <row r="30" customFormat="false" ht="15" hidden="false" customHeight="false" outlineLevel="0" collapsed="false">
      <c r="C30" s="0" t="s">
        <v>91</v>
      </c>
      <c r="I30" s="8" t="n">
        <v>0.08</v>
      </c>
      <c r="L30" s="1" t="s">
        <v>92</v>
      </c>
      <c r="Q30" s="1"/>
      <c r="R30" s="8" t="n">
        <v>0.075</v>
      </c>
      <c r="S30" s="8" t="n">
        <v>0.25</v>
      </c>
      <c r="U30" s="1"/>
      <c r="V30" s="1"/>
    </row>
    <row r="31" customFormat="false" ht="15" hidden="false" customHeight="false" outlineLevel="0" collapsed="false">
      <c r="B31" s="0" t="s">
        <v>93</v>
      </c>
      <c r="C31" s="0" t="s">
        <v>94</v>
      </c>
      <c r="I31" s="8"/>
      <c r="J31" s="8" t="n">
        <v>0.1</v>
      </c>
      <c r="K31" s="0" t="s">
        <v>95</v>
      </c>
      <c r="L31" s="8" t="n">
        <v>0.04</v>
      </c>
      <c r="M31" s="8"/>
      <c r="N31" s="8"/>
      <c r="Q31" s="1"/>
      <c r="R31" s="8"/>
      <c r="S31" s="1"/>
      <c r="U31" s="8"/>
      <c r="V31" s="1"/>
    </row>
    <row r="32" customFormat="false" ht="15" hidden="false" customHeight="false" outlineLevel="0" collapsed="false">
      <c r="B32" s="0" t="s">
        <v>96</v>
      </c>
      <c r="C32" s="0" t="s">
        <v>97</v>
      </c>
      <c r="H32" s="1" t="s">
        <v>98</v>
      </c>
      <c r="I32" s="1" t="s">
        <v>99</v>
      </c>
      <c r="J32" s="8" t="n">
        <v>0.2</v>
      </c>
      <c r="K32" s="0" t="s">
        <v>100</v>
      </c>
      <c r="M32" s="1" t="s">
        <v>101</v>
      </c>
      <c r="Q32" s="1" t="s">
        <v>98</v>
      </c>
      <c r="R32" s="1" t="s">
        <v>99</v>
      </c>
      <c r="S32" s="1" t="s">
        <v>102</v>
      </c>
      <c r="T32" s="0" t="s">
        <v>103</v>
      </c>
      <c r="U32" s="1"/>
      <c r="V32" s="1"/>
    </row>
    <row r="33" customFormat="false" ht="15" hidden="false" customHeight="false" outlineLevel="0" collapsed="false">
      <c r="B33" s="0" t="s">
        <v>104</v>
      </c>
      <c r="C33" s="0" t="s">
        <v>105</v>
      </c>
      <c r="F33" s="0" t="n">
        <v>33</v>
      </c>
      <c r="G33" s="0" t="n">
        <v>2002</v>
      </c>
      <c r="H33" s="1" t="n">
        <v>2000000</v>
      </c>
      <c r="I33" s="1" t="n">
        <f aca="false">H33*$I$30</f>
        <v>160000</v>
      </c>
      <c r="J33" s="1" t="n">
        <f aca="false">I33*$J$31</f>
        <v>16000</v>
      </c>
      <c r="M33" s="1" t="n">
        <v>85000</v>
      </c>
      <c r="O33" s="0" t="n">
        <v>33</v>
      </c>
      <c r="P33" s="0" t="n">
        <v>2002</v>
      </c>
      <c r="Q33" s="1" t="n">
        <v>4000000</v>
      </c>
      <c r="R33" s="1" t="n">
        <f aca="false">Q33*$R$30+$R$26</f>
        <v>800000</v>
      </c>
      <c r="S33" s="1" t="n">
        <f aca="false">R33*$S$30</f>
        <v>200000</v>
      </c>
      <c r="T33" s="0" t="n">
        <f aca="false">M33</f>
        <v>85000</v>
      </c>
      <c r="U33" s="1"/>
      <c r="V33" s="1"/>
    </row>
    <row r="34" customFormat="false" ht="15" hidden="false" customHeight="false" outlineLevel="0" collapsed="false">
      <c r="B34" s="0" t="s">
        <v>106</v>
      </c>
      <c r="C34" s="0" t="s">
        <v>107</v>
      </c>
      <c r="F34" s="0" t="n">
        <f aca="false">F33+1</f>
        <v>34</v>
      </c>
      <c r="G34" s="0" t="n">
        <v>2003</v>
      </c>
      <c r="H34" s="1" t="n">
        <f aca="false">H33+I33-J33-K33</f>
        <v>2144000</v>
      </c>
      <c r="I34" s="1" t="n">
        <f aca="false">H34*$I$30</f>
        <v>171520</v>
      </c>
      <c r="J34" s="1" t="n">
        <f aca="false">I34*$J$31</f>
        <v>17152</v>
      </c>
      <c r="M34" s="1" t="n">
        <f aca="false">M33*(1+$L$31)</f>
        <v>88400</v>
      </c>
      <c r="O34" s="0" t="n">
        <f aca="false">O33+1</f>
        <v>34</v>
      </c>
      <c r="P34" s="0" t="n">
        <v>2003</v>
      </c>
      <c r="Q34" s="1" t="n">
        <f aca="false">Q33+R33-S33-T33</f>
        <v>4515000</v>
      </c>
      <c r="R34" s="1" t="n">
        <f aca="false">Q34*$R$30+$R$26</f>
        <v>838625</v>
      </c>
      <c r="S34" s="1" t="n">
        <f aca="false">R34*$S$30</f>
        <v>209656.25</v>
      </c>
      <c r="T34" s="0" t="n">
        <f aca="false">M34</f>
        <v>88400</v>
      </c>
      <c r="U34" s="1"/>
      <c r="V34" s="1"/>
    </row>
    <row r="35" customFormat="false" ht="15" hidden="false" customHeight="false" outlineLevel="0" collapsed="false">
      <c r="F35" s="0" t="n">
        <f aca="false">F34+1</f>
        <v>35</v>
      </c>
      <c r="G35" s="0" t="n">
        <v>2004</v>
      </c>
      <c r="H35" s="1" t="n">
        <f aca="false">H34+I34-J34-K34</f>
        <v>2298368</v>
      </c>
      <c r="I35" s="1" t="n">
        <f aca="false">H35*$I$30</f>
        <v>183869.44</v>
      </c>
      <c r="J35" s="1" t="n">
        <f aca="false">I35*$J$31</f>
        <v>18386.944</v>
      </c>
      <c r="M35" s="1" t="n">
        <f aca="false">M34*(1+$L$31)</f>
        <v>91936</v>
      </c>
      <c r="O35" s="0" t="n">
        <f aca="false">O34+1</f>
        <v>35</v>
      </c>
      <c r="P35" s="0" t="n">
        <v>2004</v>
      </c>
      <c r="Q35" s="1" t="n">
        <f aca="false">Q34+R34-S34-T34</f>
        <v>5055568.75</v>
      </c>
      <c r="R35" s="1" t="n">
        <f aca="false">Q35*$R$30+$R$26</f>
        <v>879167.65625</v>
      </c>
      <c r="S35" s="1" t="n">
        <f aca="false">R35*$S$30</f>
        <v>219791.9140625</v>
      </c>
      <c r="T35" s="0" t="n">
        <f aca="false">M35</f>
        <v>91936</v>
      </c>
      <c r="U35" s="1"/>
      <c r="V35" s="1"/>
    </row>
    <row r="36" customFormat="false" ht="15" hidden="false" customHeight="false" outlineLevel="0" collapsed="false">
      <c r="F36" s="0" t="n">
        <f aca="false">F35+1</f>
        <v>36</v>
      </c>
      <c r="G36" s="0" t="n">
        <v>2005</v>
      </c>
      <c r="H36" s="1" t="n">
        <f aca="false">H35+I35-J35-K35</f>
        <v>2463850.496</v>
      </c>
      <c r="I36" s="1" t="n">
        <f aca="false">H36*$I$30</f>
        <v>197108.03968</v>
      </c>
      <c r="J36" s="1" t="n">
        <f aca="false">I36*$J$31</f>
        <v>19710.803968</v>
      </c>
      <c r="M36" s="1" t="n">
        <f aca="false">M35*(1+$L$31)</f>
        <v>95613.44</v>
      </c>
      <c r="O36" s="0" t="n">
        <f aca="false">O35+1</f>
        <v>36</v>
      </c>
      <c r="P36" s="0" t="n">
        <v>2005</v>
      </c>
      <c r="Q36" s="1" t="n">
        <f aca="false">Q35+R35-S35-T35</f>
        <v>5623008.4921875</v>
      </c>
      <c r="R36" s="1" t="n">
        <f aca="false">Q36*$R$30+$R$26</f>
        <v>921725.636914063</v>
      </c>
      <c r="S36" s="1" t="n">
        <f aca="false">R36*$S$30</f>
        <v>230431.409228516</v>
      </c>
      <c r="T36" s="0" t="n">
        <f aca="false">M36</f>
        <v>95613.44</v>
      </c>
      <c r="U36" s="1"/>
      <c r="V36" s="1"/>
    </row>
    <row r="37" customFormat="false" ht="15" hidden="false" customHeight="false" outlineLevel="0" collapsed="false">
      <c r="F37" s="0" t="n">
        <f aca="false">F36+1</f>
        <v>37</v>
      </c>
      <c r="G37" s="0" t="n">
        <v>2006</v>
      </c>
      <c r="H37" s="1" t="n">
        <f aca="false">H36+I36-J36-K36</f>
        <v>2641247.731712</v>
      </c>
      <c r="I37" s="1" t="n">
        <f aca="false">H37*$I$30</f>
        <v>211299.81853696</v>
      </c>
      <c r="J37" s="1" t="n">
        <f aca="false">I37*$J$31</f>
        <v>21129.981853696</v>
      </c>
      <c r="M37" s="1" t="n">
        <f aca="false">M36*(1+$L$31)</f>
        <v>99437.9776</v>
      </c>
      <c r="O37" s="0" t="n">
        <f aca="false">O36+1</f>
        <v>37</v>
      </c>
      <c r="P37" s="0" t="n">
        <v>2006</v>
      </c>
      <c r="Q37" s="1" t="n">
        <f aca="false">Q36+R36-S36-T36</f>
        <v>6218689.27987305</v>
      </c>
      <c r="R37" s="1" t="n">
        <f aca="false">Q37*$R$30+$R$26</f>
        <v>966401.695990478</v>
      </c>
      <c r="S37" s="1" t="n">
        <f aca="false">R37*$S$30</f>
        <v>241600.42399762</v>
      </c>
      <c r="T37" s="0" t="n">
        <f aca="false">M37</f>
        <v>99437.9776</v>
      </c>
      <c r="U37" s="1"/>
      <c r="V37" s="1"/>
    </row>
    <row r="38" customFormat="false" ht="15.75" hidden="false" customHeight="false" outlineLevel="0" collapsed="false">
      <c r="A38" s="9" t="s">
        <v>108</v>
      </c>
      <c r="B38" s="0" t="s">
        <v>109</v>
      </c>
      <c r="C38" s="0" t="s">
        <v>37</v>
      </c>
      <c r="F38" s="0" t="n">
        <f aca="false">F37+1</f>
        <v>38</v>
      </c>
      <c r="G38" s="0" t="n">
        <v>2007</v>
      </c>
      <c r="H38" s="1" t="n">
        <f aca="false">H37+I37-J37-K37</f>
        <v>2831417.56839526</v>
      </c>
      <c r="I38" s="1" t="n">
        <f aca="false">H38*$I$30</f>
        <v>226513.405471621</v>
      </c>
      <c r="J38" s="1" t="n">
        <f aca="false">I38*$J$31</f>
        <v>22651.3405471621</v>
      </c>
      <c r="M38" s="1" t="n">
        <f aca="false">M37*(1+$L$31)</f>
        <v>103415.496704</v>
      </c>
      <c r="O38" s="0" t="n">
        <f aca="false">O37+1</f>
        <v>38</v>
      </c>
      <c r="P38" s="0" t="n">
        <v>2007</v>
      </c>
      <c r="Q38" s="1" t="n">
        <f aca="false">Q37+R37-S37-T37</f>
        <v>6844052.57426591</v>
      </c>
      <c r="R38" s="1" t="n">
        <f aca="false">Q38*$R$30+$R$26</f>
        <v>1013303.94306994</v>
      </c>
      <c r="S38" s="1" t="n">
        <f aca="false">R38*$S$30</f>
        <v>253325.985767486</v>
      </c>
      <c r="T38" s="0" t="n">
        <f aca="false">M38</f>
        <v>103415.496704</v>
      </c>
      <c r="U38" s="1"/>
      <c r="V38" s="1"/>
    </row>
    <row r="39" customFormat="false" ht="15" hidden="false" customHeight="false" outlineLevel="0" collapsed="false">
      <c r="B39" s="0" t="s">
        <v>110</v>
      </c>
      <c r="C39" s="0" t="s">
        <v>82</v>
      </c>
      <c r="F39" s="0" t="n">
        <f aca="false">F38+1</f>
        <v>39</v>
      </c>
      <c r="G39" s="0" t="n">
        <v>2008</v>
      </c>
      <c r="H39" s="1" t="n">
        <f aca="false">H38+I38-J38-K38</f>
        <v>3035279.63331972</v>
      </c>
      <c r="I39" s="1" t="n">
        <f aca="false">H39*$I$30</f>
        <v>242822.370665578</v>
      </c>
      <c r="J39" s="1" t="n">
        <f aca="false">I39*$J$31</f>
        <v>24282.2370665578</v>
      </c>
      <c r="M39" s="1" t="n">
        <f aca="false">M38*(1+$L$31)</f>
        <v>107552.11657216</v>
      </c>
      <c r="O39" s="0" t="n">
        <f aca="false">O38+1</f>
        <v>39</v>
      </c>
      <c r="P39" s="0" t="n">
        <v>2008</v>
      </c>
      <c r="Q39" s="1" t="n">
        <f aca="false">Q38+R38-S38-T38</f>
        <v>7500615.03486436</v>
      </c>
      <c r="R39" s="1" t="n">
        <f aca="false">Q39*$R$30+$R$26</f>
        <v>1062546.12761483</v>
      </c>
      <c r="S39" s="1" t="n">
        <f aca="false">R39*$S$30</f>
        <v>265636.531903707</v>
      </c>
      <c r="T39" s="0" t="n">
        <f aca="false">M39</f>
        <v>107552.11657216</v>
      </c>
      <c r="U39" s="1"/>
      <c r="V39" s="1"/>
    </row>
    <row r="40" customFormat="false" ht="15" hidden="false" customHeight="false" outlineLevel="0" collapsed="false">
      <c r="B40" s="0" t="s">
        <v>111</v>
      </c>
      <c r="C40" s="0" t="s">
        <v>47</v>
      </c>
      <c r="F40" s="0" t="n">
        <f aca="false">F39+1</f>
        <v>40</v>
      </c>
      <c r="G40" s="0" t="n">
        <v>2009</v>
      </c>
      <c r="H40" s="1" t="n">
        <f aca="false">H39+I39-J39-K39</f>
        <v>3253819.76691874</v>
      </c>
      <c r="I40" s="1" t="n">
        <f aca="false">H40*$I$30</f>
        <v>260305.581353499</v>
      </c>
      <c r="J40" s="1" t="n">
        <f aca="false">I40*$J$31</f>
        <v>26030.5581353499</v>
      </c>
      <c r="M40" s="1" t="n">
        <f aca="false">M39*(1+$L$31)</f>
        <v>111854.201235046</v>
      </c>
      <c r="O40" s="0" t="n">
        <f aca="false">O39+1</f>
        <v>40</v>
      </c>
      <c r="P40" s="0" t="n">
        <v>2009</v>
      </c>
      <c r="Q40" s="1" t="n">
        <f aca="false">Q39+R39-S39-T39</f>
        <v>8189972.51400332</v>
      </c>
      <c r="R40" s="1" t="n">
        <f aca="false">Q40*$R$30+$R$26</f>
        <v>1114247.93855025</v>
      </c>
      <c r="S40" s="1" t="n">
        <f aca="false">R40*$S$30</f>
        <v>278561.984637562</v>
      </c>
      <c r="T40" s="0" t="n">
        <f aca="false">M40</f>
        <v>111854.201235046</v>
      </c>
      <c r="U40" s="1"/>
      <c r="V40" s="1"/>
    </row>
    <row r="41" customFormat="false" ht="15" hidden="false" customHeight="false" outlineLevel="0" collapsed="false">
      <c r="B41" s="0" t="s">
        <v>93</v>
      </c>
      <c r="C41" s="0" t="s">
        <v>112</v>
      </c>
      <c r="F41" s="0" t="n">
        <f aca="false">F40+1</f>
        <v>41</v>
      </c>
      <c r="G41" s="0" t="n">
        <v>2010</v>
      </c>
      <c r="H41" s="1" t="n">
        <f aca="false">H40+I40-J40-K40</f>
        <v>3488094.79013689</v>
      </c>
      <c r="I41" s="1" t="n">
        <f aca="false">H41*$I$30</f>
        <v>279047.583210951</v>
      </c>
      <c r="J41" s="1" t="n">
        <f aca="false">I41*$J$31</f>
        <v>27904.7583210951</v>
      </c>
      <c r="M41" s="1" t="n">
        <f aca="false">M40*(1+$L$31)</f>
        <v>116328.369284448</v>
      </c>
      <c r="O41" s="0" t="n">
        <f aca="false">O40+1</f>
        <v>41</v>
      </c>
      <c r="P41" s="0" t="n">
        <v>2010</v>
      </c>
      <c r="Q41" s="1" t="n">
        <f aca="false">Q40+R40-S40-T40</f>
        <v>8913804.26668096</v>
      </c>
      <c r="R41" s="1" t="n">
        <f aca="false">Q41*$R$30+$R$26</f>
        <v>1168535.32000107</v>
      </c>
      <c r="S41" s="1" t="n">
        <f aca="false">R41*$S$30</f>
        <v>292133.830000268</v>
      </c>
      <c r="T41" s="0" t="n">
        <f aca="false">M41</f>
        <v>116328.369284448</v>
      </c>
      <c r="U41" s="1"/>
      <c r="V41" s="1"/>
    </row>
    <row r="42" customFormat="false" ht="15" hidden="false" customHeight="false" outlineLevel="0" collapsed="false">
      <c r="B42" s="0" t="s">
        <v>96</v>
      </c>
      <c r="C42" s="0" t="s">
        <v>97</v>
      </c>
      <c r="F42" s="0" t="n">
        <f aca="false">F41+1</f>
        <v>42</v>
      </c>
      <c r="G42" s="0" t="n">
        <v>2011</v>
      </c>
      <c r="H42" s="1" t="n">
        <f aca="false">H41+I41-J41-K41</f>
        <v>3739237.61502675</v>
      </c>
      <c r="I42" s="1" t="n">
        <f aca="false">H42*$I$30</f>
        <v>299139.00920214</v>
      </c>
      <c r="J42" s="1" t="n">
        <f aca="false">I42*$J$31</f>
        <v>29913.900920214</v>
      </c>
      <c r="M42" s="1" t="n">
        <f aca="false">M41*(1+$L$31)</f>
        <v>120981.504055826</v>
      </c>
      <c r="O42" s="0" t="n">
        <f aca="false">O41+1</f>
        <v>42</v>
      </c>
      <c r="P42" s="0" t="n">
        <v>2011</v>
      </c>
      <c r="Q42" s="1" t="n">
        <f aca="false">Q41+R41-S41-T41</f>
        <v>9673877.38739732</v>
      </c>
      <c r="R42" s="1" t="n">
        <f aca="false">Q42*$R$30+$R$26</f>
        <v>1225540.8040548</v>
      </c>
      <c r="S42" s="1" t="n">
        <f aca="false">R42*$S$30</f>
        <v>306385.2010137</v>
      </c>
      <c r="T42" s="0" t="n">
        <f aca="false">M42</f>
        <v>120981.504055826</v>
      </c>
      <c r="U42" s="1"/>
      <c r="V42" s="1"/>
    </row>
    <row r="43" customFormat="false" ht="15" hidden="false" customHeight="false" outlineLevel="0" collapsed="false">
      <c r="B43" s="0" t="s">
        <v>104</v>
      </c>
      <c r="C43" s="0" t="s">
        <v>105</v>
      </c>
      <c r="F43" s="0" t="n">
        <f aca="false">F42+1</f>
        <v>43</v>
      </c>
      <c r="G43" s="0" t="n">
        <v>2012</v>
      </c>
      <c r="H43" s="1" t="n">
        <f aca="false">H42+I42-J42-K42</f>
        <v>4008462.72330867</v>
      </c>
      <c r="I43" s="1" t="n">
        <f aca="false">H43*$I$30</f>
        <v>320677.017864694</v>
      </c>
      <c r="J43" s="1" t="n">
        <f aca="false">I43*$J$31</f>
        <v>32067.7017864694</v>
      </c>
      <c r="M43" s="1" t="n">
        <f aca="false">M42*(1+$L$31)</f>
        <v>125820.764218059</v>
      </c>
      <c r="O43" s="0" t="n">
        <f aca="false">O42+1</f>
        <v>43</v>
      </c>
      <c r="P43" s="0" t="n">
        <v>2012</v>
      </c>
      <c r="Q43" s="1" t="n">
        <f aca="false">Q42+R42-S42-T42</f>
        <v>10472051.4863826</v>
      </c>
      <c r="R43" s="1" t="n">
        <f aca="false">Q43*$R$30+$R$26</f>
        <v>1285403.86147869</v>
      </c>
      <c r="S43" s="1" t="n">
        <f aca="false">R43*$S$30</f>
        <v>321350.965369674</v>
      </c>
      <c r="T43" s="0" t="n">
        <f aca="false">M43</f>
        <v>125820.764218059</v>
      </c>
      <c r="U43" s="1"/>
      <c r="V43" s="1"/>
    </row>
    <row r="44" customFormat="false" ht="15" hidden="false" customHeight="false" outlineLevel="0" collapsed="false">
      <c r="B44" s="0" t="s">
        <v>106</v>
      </c>
      <c r="C44" s="0" t="s">
        <v>107</v>
      </c>
      <c r="F44" s="0" t="n">
        <f aca="false">F43+1</f>
        <v>44</v>
      </c>
      <c r="G44" s="0" t="n">
        <v>2013</v>
      </c>
      <c r="H44" s="1" t="n">
        <f aca="false">H43+I43-J43-K43</f>
        <v>4297072.0393869</v>
      </c>
      <c r="I44" s="1" t="n">
        <f aca="false">H44*$I$30</f>
        <v>343765.763150952</v>
      </c>
      <c r="J44" s="1" t="n">
        <f aca="false">I44*$J$31</f>
        <v>34376.5763150952</v>
      </c>
      <c r="M44" s="1" t="n">
        <f aca="false">M43*(1+$L$31)</f>
        <v>130853.594786782</v>
      </c>
      <c r="O44" s="0" t="n">
        <f aca="false">O43+1</f>
        <v>44</v>
      </c>
      <c r="P44" s="0" t="n">
        <v>2013</v>
      </c>
      <c r="Q44" s="1" t="n">
        <f aca="false">Q43+R43-S43-T43</f>
        <v>11310283.6182736</v>
      </c>
      <c r="R44" s="1" t="n">
        <f aca="false">Q44*$R$30+$R$26</f>
        <v>1348271.27137052</v>
      </c>
      <c r="S44" s="1" t="n">
        <f aca="false">R44*$S$30</f>
        <v>337067.817842629</v>
      </c>
      <c r="T44" s="0" t="n">
        <f aca="false">M44</f>
        <v>130853.594786782</v>
      </c>
      <c r="U44" s="1"/>
      <c r="V44" s="1"/>
    </row>
    <row r="45" customFormat="false" ht="15" hidden="false" customHeight="false" outlineLevel="0" collapsed="false">
      <c r="F45" s="0" t="n">
        <f aca="false">F44+1</f>
        <v>45</v>
      </c>
      <c r="G45" s="0" t="n">
        <v>2014</v>
      </c>
      <c r="H45" s="1" t="n">
        <f aca="false">H44+I44-J44-K44</f>
        <v>4606461.22622276</v>
      </c>
      <c r="I45" s="1" t="n">
        <f aca="false">H45*$I$30</f>
        <v>368516.89809782</v>
      </c>
      <c r="J45" s="1" t="n">
        <f aca="false">I45*$J$31</f>
        <v>36851.689809782</v>
      </c>
      <c r="M45" s="1" t="n">
        <f aca="false">M44*(1+$L$31)</f>
        <v>136087.738578253</v>
      </c>
      <c r="O45" s="0" t="n">
        <f aca="false">O44+1</f>
        <v>45</v>
      </c>
      <c r="P45" s="0" t="n">
        <v>2014</v>
      </c>
      <c r="Q45" s="1" t="n">
        <f aca="false">Q44+R44-S44-T44</f>
        <v>12190633.4770147</v>
      </c>
      <c r="R45" s="1" t="n">
        <f aca="false">Q45*$R$30+$R$26</f>
        <v>1414297.5107761</v>
      </c>
      <c r="S45" s="1" t="n">
        <f aca="false">R45*$S$30</f>
        <v>353574.377694025</v>
      </c>
      <c r="T45" s="0" t="n">
        <f aca="false">M45</f>
        <v>136087.738578253</v>
      </c>
      <c r="U45" s="1"/>
      <c r="V45" s="1"/>
    </row>
    <row r="46" customFormat="false" ht="15" hidden="false" customHeight="false" outlineLevel="0" collapsed="false">
      <c r="F46" s="0" t="n">
        <f aca="false">F45+1</f>
        <v>46</v>
      </c>
      <c r="G46" s="0" t="n">
        <v>2015</v>
      </c>
      <c r="H46" s="1" t="n">
        <f aca="false">H45+I45-J45-K45</f>
        <v>4938126.43451079</v>
      </c>
      <c r="I46" s="1" t="n">
        <f aca="false">H46*$I$30</f>
        <v>395050.114760864</v>
      </c>
      <c r="J46" s="1" t="n">
        <f aca="false">I46*$J$31</f>
        <v>39505.0114760864</v>
      </c>
      <c r="M46" s="1" t="n">
        <f aca="false">M45*(1+$L$31)</f>
        <v>141531.248121383</v>
      </c>
      <c r="O46" s="0" t="n">
        <f aca="false">O45+1</f>
        <v>46</v>
      </c>
      <c r="P46" s="0" t="n">
        <v>2015</v>
      </c>
      <c r="Q46" s="1" t="n">
        <f aca="false">Q45+R45-S45-T45</f>
        <v>13115268.8715185</v>
      </c>
      <c r="R46" s="1" t="n">
        <f aca="false">Q46*$R$30+$R$26</f>
        <v>1483645.16536389</v>
      </c>
      <c r="S46" s="1" t="n">
        <f aca="false">R46*$S$30</f>
        <v>370911.291340972</v>
      </c>
      <c r="T46" s="0" t="n">
        <f aca="false">M46</f>
        <v>141531.248121383</v>
      </c>
      <c r="U46" s="1"/>
      <c r="V46" s="1"/>
    </row>
    <row r="47" customFormat="false" ht="15" hidden="false" customHeight="false" outlineLevel="0" collapsed="false">
      <c r="F47" s="0" t="n">
        <f aca="false">F46+1</f>
        <v>47</v>
      </c>
      <c r="G47" s="0" t="n">
        <v>2016</v>
      </c>
      <c r="H47" s="1" t="n">
        <f aca="false">H46+I46-J46-K46</f>
        <v>5293671.53779557</v>
      </c>
      <c r="I47" s="1" t="n">
        <f aca="false">H47*$I$30</f>
        <v>423493.723023646</v>
      </c>
      <c r="J47" s="1" t="n">
        <f aca="false">I47*$J$31</f>
        <v>42349.3723023646</v>
      </c>
      <c r="M47" s="1" t="n">
        <f aca="false">M46*(1+$L$31)</f>
        <v>147192.498046238</v>
      </c>
      <c r="O47" s="0" t="n">
        <f aca="false">O46+1</f>
        <v>47</v>
      </c>
      <c r="P47" s="0" t="n">
        <v>2016</v>
      </c>
      <c r="Q47" s="1" t="n">
        <f aca="false">Q46+R46-S46-T46</f>
        <v>14086471.49742</v>
      </c>
      <c r="R47" s="1" t="n">
        <f aca="false">Q47*$R$30+$R$26</f>
        <v>1556485.3623065</v>
      </c>
      <c r="S47" s="1" t="n">
        <f aca="false">R47*$S$30</f>
        <v>389121.340576625</v>
      </c>
      <c r="T47" s="0" t="n">
        <f aca="false">M47</f>
        <v>147192.498046238</v>
      </c>
      <c r="U47" s="1"/>
      <c r="V47" s="1"/>
    </row>
    <row r="48" customFormat="false" ht="15" hidden="false" customHeight="false" outlineLevel="0" collapsed="false">
      <c r="F48" s="0" t="n">
        <f aca="false">F47+1</f>
        <v>48</v>
      </c>
      <c r="G48" s="0" t="n">
        <v>2017</v>
      </c>
      <c r="H48" s="1" t="n">
        <f aca="false">H47+I47-J47-K47</f>
        <v>5674815.88851685</v>
      </c>
      <c r="I48" s="1" t="n">
        <f aca="false">H48*$I$30</f>
        <v>453985.271081348</v>
      </c>
      <c r="J48" s="1" t="n">
        <f aca="false">I48*$J$31</f>
        <v>45398.5271081348</v>
      </c>
      <c r="M48" s="1" t="n">
        <f aca="false">M47*(1+$L$31)</f>
        <v>153080.197968088</v>
      </c>
      <c r="O48" s="0" t="n">
        <f aca="false">O47+1</f>
        <v>48</v>
      </c>
      <c r="P48" s="0" t="n">
        <v>2017</v>
      </c>
      <c r="Q48" s="1" t="n">
        <f aca="false">Q47+R47-S47-T47</f>
        <v>15106643.0211037</v>
      </c>
      <c r="R48" s="1" t="n">
        <f aca="false">Q48*$R$30+$R$26</f>
        <v>1632998.22658277</v>
      </c>
      <c r="S48" s="1" t="n">
        <f aca="false">R48*$S$30</f>
        <v>408249.556645694</v>
      </c>
      <c r="T48" s="0" t="n">
        <f aca="false">M48</f>
        <v>153080.197968088</v>
      </c>
      <c r="U48" s="1"/>
      <c r="V48" s="1"/>
    </row>
    <row r="49" customFormat="false" ht="15" hidden="false" customHeight="false" outlineLevel="0" collapsed="false">
      <c r="F49" s="0" t="n">
        <f aca="false">F48+1</f>
        <v>49</v>
      </c>
      <c r="G49" s="0" t="n">
        <v>2018</v>
      </c>
      <c r="H49" s="1" t="n">
        <f aca="false">H48+I48-J48-K48</f>
        <v>6083402.63249007</v>
      </c>
      <c r="I49" s="1" t="n">
        <f aca="false">H49*$I$30</f>
        <v>486672.210599205</v>
      </c>
      <c r="J49" s="1" t="n">
        <f aca="false">I49*$J$31</f>
        <v>48667.2210599205</v>
      </c>
      <c r="M49" s="1" t="n">
        <f aca="false">M48*(1+$L$31)</f>
        <v>159203.405886811</v>
      </c>
      <c r="O49" s="0" t="n">
        <f aca="false">O48+1</f>
        <v>49</v>
      </c>
      <c r="P49" s="0" t="n">
        <v>2018</v>
      </c>
      <c r="Q49" s="1" t="n">
        <f aca="false">Q48+R48-S48-T48</f>
        <v>16178311.4930726</v>
      </c>
      <c r="R49" s="1" t="n">
        <f aca="false">Q49*$R$30+$R$26</f>
        <v>1713373.36198045</v>
      </c>
      <c r="S49" s="1" t="n">
        <f aca="false">R49*$S$30</f>
        <v>428343.340495112</v>
      </c>
      <c r="T49" s="0" t="n">
        <f aca="false">M49</f>
        <v>159203.405886811</v>
      </c>
      <c r="U49" s="1"/>
      <c r="V49" s="1"/>
    </row>
    <row r="50" customFormat="false" ht="15" hidden="false" customHeight="false" outlineLevel="0" collapsed="false">
      <c r="F50" s="0" t="n">
        <f aca="false">F49+1</f>
        <v>50</v>
      </c>
      <c r="G50" s="0" t="n">
        <v>2019</v>
      </c>
      <c r="H50" s="1" t="n">
        <f aca="false">H49+I49-J49-K49</f>
        <v>6521407.62202935</v>
      </c>
      <c r="I50" s="1" t="n">
        <f aca="false">H50*$I$30</f>
        <v>521712.609762348</v>
      </c>
      <c r="J50" s="1" t="n">
        <f aca="false">I50*$J$31</f>
        <v>52171.2609762348</v>
      </c>
      <c r="K50" s="0" t="n">
        <f aca="false">M50</f>
        <v>165571.542122284</v>
      </c>
      <c r="M50" s="1" t="n">
        <f aca="false">M49*(1+$L$31)</f>
        <v>165571.542122284</v>
      </c>
      <c r="O50" s="0" t="n">
        <f aca="false">O49+1</f>
        <v>50</v>
      </c>
      <c r="P50" s="0" t="n">
        <v>2019</v>
      </c>
      <c r="Q50" s="1" t="n">
        <f aca="false">Q49+R49-S49-T49</f>
        <v>17304138.1086712</v>
      </c>
      <c r="R50" s="1" t="n">
        <f aca="false">Q50*$R$30+$R$26</f>
        <v>1797810.35815034</v>
      </c>
      <c r="S50" s="1" t="n">
        <f aca="false">R50*$S$30</f>
        <v>449452.589537584</v>
      </c>
      <c r="T50" s="0" t="n">
        <f aca="false">M50</f>
        <v>165571.542122284</v>
      </c>
      <c r="U50" s="1"/>
      <c r="V50" s="1"/>
    </row>
    <row r="51" customFormat="false" ht="15" hidden="false" customHeight="false" outlineLevel="0" collapsed="false">
      <c r="F51" s="0" t="n">
        <f aca="false">F50+1</f>
        <v>51</v>
      </c>
      <c r="G51" s="0" t="n">
        <v>2020</v>
      </c>
      <c r="H51" s="1" t="n">
        <f aca="false">H50+I50-J50-K50</f>
        <v>6825377.42869318</v>
      </c>
      <c r="I51" s="1" t="n">
        <f aca="false">H51*$I$30</f>
        <v>546030.194295454</v>
      </c>
      <c r="J51" s="1" t="n">
        <f aca="false">I51*$J$31</f>
        <v>54603.0194295454</v>
      </c>
      <c r="K51" s="0" t="n">
        <f aca="false">M51</f>
        <v>172194.403807175</v>
      </c>
      <c r="M51" s="1" t="n">
        <f aca="false">M50*(1+$L$31)</f>
        <v>172194.403807175</v>
      </c>
      <c r="O51" s="0" t="n">
        <f aca="false">O50+1</f>
        <v>51</v>
      </c>
      <c r="P51" s="0" t="n">
        <v>2020</v>
      </c>
      <c r="Q51" s="1" t="n">
        <f aca="false">Q50+R50-S50-T50</f>
        <v>18486924.3351616</v>
      </c>
      <c r="R51" s="1" t="n">
        <f aca="false">Q51*$R$30+$R$26</f>
        <v>1886519.32513712</v>
      </c>
      <c r="S51" s="1" t="n">
        <f aca="false">R51*$S$30</f>
        <v>471629.831284281</v>
      </c>
      <c r="T51" s="0" t="n">
        <f aca="false">M51</f>
        <v>172194.403807175</v>
      </c>
      <c r="U51" s="1"/>
      <c r="V51" s="1"/>
    </row>
    <row r="52" customFormat="false" ht="15" hidden="false" customHeight="false" outlineLevel="0" collapsed="false">
      <c r="F52" s="0" t="n">
        <f aca="false">F51+1</f>
        <v>52</v>
      </c>
      <c r="G52" s="0" t="n">
        <v>2021</v>
      </c>
      <c r="H52" s="1" t="n">
        <f aca="false">H51+I51-J51-K51</f>
        <v>7144610.19975191</v>
      </c>
      <c r="I52" s="1" t="n">
        <f aca="false">H52*$I$30</f>
        <v>571568.815980153</v>
      </c>
      <c r="J52" s="1" t="n">
        <f aca="false">I52*$J$31</f>
        <v>57156.8815980153</v>
      </c>
      <c r="K52" s="0" t="n">
        <f aca="false">M52</f>
        <v>179082.179959462</v>
      </c>
      <c r="M52" s="1" t="n">
        <f aca="false">M51*(1+$L$31)</f>
        <v>179082.179959462</v>
      </c>
      <c r="O52" s="0" t="n">
        <f aca="false">O51+1</f>
        <v>52</v>
      </c>
      <c r="P52" s="0" t="n">
        <v>2021</v>
      </c>
      <c r="Q52" s="1" t="n">
        <f aca="false">Q51+R51-S51-T51</f>
        <v>19729619.4252073</v>
      </c>
      <c r="R52" s="1" t="n">
        <f aca="false">Q52*$R$30+$R$26</f>
        <v>1979721.45689055</v>
      </c>
      <c r="S52" s="1" t="n">
        <f aca="false">R52*$S$30</f>
        <v>494930.364222637</v>
      </c>
      <c r="T52" s="0" t="n">
        <f aca="false">M52</f>
        <v>179082.179959462</v>
      </c>
      <c r="U52" s="1"/>
      <c r="V52" s="1"/>
    </row>
    <row r="53" customFormat="false" ht="15" hidden="false" customHeight="false" outlineLevel="0" collapsed="false">
      <c r="F53" s="0" t="n">
        <f aca="false">F52+1</f>
        <v>53</v>
      </c>
      <c r="G53" s="0" t="n">
        <v>2022</v>
      </c>
      <c r="H53" s="1" t="n">
        <f aca="false">H52+I52-J52-K52</f>
        <v>7479939.95417459</v>
      </c>
      <c r="I53" s="1" t="n">
        <f aca="false">H53*$I$30</f>
        <v>598395.196333967</v>
      </c>
      <c r="J53" s="1" t="n">
        <f aca="false">I53*$J$31</f>
        <v>59839.5196333967</v>
      </c>
      <c r="K53" s="0" t="n">
        <f aca="false">M53</f>
        <v>186245.467157841</v>
      </c>
      <c r="M53" s="1" t="n">
        <f aca="false">M52*(1+$L$31)</f>
        <v>186245.467157841</v>
      </c>
      <c r="O53" s="0" t="n">
        <f aca="false">O52+1</f>
        <v>53</v>
      </c>
      <c r="P53" s="0" t="n">
        <v>2022</v>
      </c>
      <c r="Q53" s="1" t="n">
        <f aca="false">Q52+R52-S52-T52</f>
        <v>21035328.3379158</v>
      </c>
      <c r="R53" s="1" t="n">
        <f aca="false">Q53*$R$30+$R$26</f>
        <v>2077649.62534368</v>
      </c>
      <c r="S53" s="1" t="n">
        <f aca="false">R53*$S$30</f>
        <v>519412.406335921</v>
      </c>
      <c r="T53" s="0" t="n">
        <f aca="false">M53</f>
        <v>186245.467157841</v>
      </c>
      <c r="U53" s="1"/>
      <c r="V53" s="1"/>
    </row>
    <row r="54" customFormat="false" ht="15" hidden="false" customHeight="false" outlineLevel="0" collapsed="false">
      <c r="F54" s="0" t="n">
        <f aca="false">F53+1</f>
        <v>54</v>
      </c>
      <c r="G54" s="0" t="n">
        <v>2023</v>
      </c>
      <c r="H54" s="1" t="n">
        <f aca="false">H53+I53-J53-K53</f>
        <v>7832250.16371732</v>
      </c>
      <c r="I54" s="1" t="n">
        <f aca="false">H54*$I$30</f>
        <v>626580.013097386</v>
      </c>
      <c r="J54" s="1" t="n">
        <f aca="false">I54*$J$31</f>
        <v>62658.0013097386</v>
      </c>
      <c r="K54" s="0" t="n">
        <f aca="false">M54</f>
        <v>193695.285844154</v>
      </c>
      <c r="M54" s="1" t="n">
        <f aca="false">M53*(1+$L$31)</f>
        <v>193695.285844154</v>
      </c>
      <c r="O54" s="0" t="n">
        <f aca="false">O53+1</f>
        <v>54</v>
      </c>
      <c r="P54" s="0" t="n">
        <v>2023</v>
      </c>
      <c r="Q54" s="1" t="n">
        <f aca="false">Q53+R53-S53-T53</f>
        <v>22407320.0897657</v>
      </c>
      <c r="R54" s="1" t="n">
        <f aca="false">Q54*$R$30+$R$26</f>
        <v>2180549.00673243</v>
      </c>
      <c r="S54" s="1" t="n">
        <f aca="false">R54*$S$30</f>
        <v>545137.251683106</v>
      </c>
      <c r="T54" s="0" t="n">
        <f aca="false">M54</f>
        <v>193695.285844154</v>
      </c>
      <c r="U54" s="1"/>
      <c r="V54" s="1"/>
    </row>
    <row r="55" customFormat="false" ht="15" hidden="false" customHeight="false" outlineLevel="0" collapsed="false">
      <c r="F55" s="0" t="n">
        <f aca="false">F54+1</f>
        <v>55</v>
      </c>
      <c r="G55" s="0" t="n">
        <v>2024</v>
      </c>
      <c r="H55" s="1" t="n">
        <f aca="false">H54+I54-J54-K54</f>
        <v>8202476.88966081</v>
      </c>
      <c r="I55" s="1" t="n">
        <f aca="false">H55*$I$30</f>
        <v>656198.151172865</v>
      </c>
      <c r="J55" s="1" t="n">
        <f aca="false">I55*$J$32</f>
        <v>131239.630234573</v>
      </c>
      <c r="K55" s="0" t="n">
        <f aca="false">M55</f>
        <v>201443.097277921</v>
      </c>
      <c r="M55" s="1" t="n">
        <f aca="false">M54*(1+$L$31)</f>
        <v>201443.097277921</v>
      </c>
      <c r="O55" s="0" t="n">
        <f aca="false">O54+1</f>
        <v>55</v>
      </c>
      <c r="P55" s="0" t="n">
        <v>2024</v>
      </c>
      <c r="Q55" s="1" t="n">
        <f aca="false">Q54+R54-S54-T54</f>
        <v>23849036.5589708</v>
      </c>
      <c r="R55" s="1" t="n">
        <f aca="false">Q55*$R$30+$R$26</f>
        <v>2288677.74192281</v>
      </c>
      <c r="S55" s="1" t="n">
        <f aca="false">R55*$S$30</f>
        <v>572169.435480703</v>
      </c>
      <c r="T55" s="0" t="n">
        <f aca="false">M55</f>
        <v>201443.097277921</v>
      </c>
      <c r="U55" s="1"/>
      <c r="V55" s="1"/>
    </row>
    <row r="56" customFormat="false" ht="15" hidden="false" customHeight="false" outlineLevel="0" collapsed="false">
      <c r="F56" s="0" t="n">
        <f aca="false">F55+1</f>
        <v>56</v>
      </c>
      <c r="G56" s="0" t="n">
        <v>2025</v>
      </c>
      <c r="H56" s="1" t="n">
        <f aca="false">H55+I55-J55-K55</f>
        <v>8525992.31332118</v>
      </c>
      <c r="I56" s="1" t="n">
        <f aca="false">H56*$I$30</f>
        <v>682079.385065695</v>
      </c>
      <c r="J56" s="1" t="n">
        <f aca="false">I56*$J$32</f>
        <v>136415.877013139</v>
      </c>
      <c r="K56" s="0" t="n">
        <f aca="false">K55*(1+$L$31)</f>
        <v>209500.821169037</v>
      </c>
      <c r="M56" s="1" t="n">
        <f aca="false">M55*(1+$L$31)</f>
        <v>209500.821169037</v>
      </c>
      <c r="O56" s="0" t="n">
        <f aca="false">O55+1</f>
        <v>56</v>
      </c>
      <c r="P56" s="0" t="n">
        <v>2025</v>
      </c>
      <c r="Q56" s="1" t="n">
        <f aca="false">Q55+R55-S55-T55</f>
        <v>25364101.768135</v>
      </c>
      <c r="R56" s="1" t="n">
        <f aca="false">Q56*$R$30+$R$26</f>
        <v>2402307.63261013</v>
      </c>
      <c r="S56" s="1" t="n">
        <f aca="false">R56*$S$30</f>
        <v>600576.908152532</v>
      </c>
      <c r="T56" s="0" t="n">
        <f aca="false">M56</f>
        <v>209500.821169037</v>
      </c>
    </row>
    <row r="57" customFormat="false" ht="15" hidden="false" customHeight="false" outlineLevel="0" collapsed="false">
      <c r="F57" s="0" t="n">
        <f aca="false">F56+1</f>
        <v>57</v>
      </c>
      <c r="G57" s="0" t="n">
        <v>2026</v>
      </c>
      <c r="H57" s="1" t="n">
        <f aca="false">H56+I56-J56-K56</f>
        <v>8862155.0002047</v>
      </c>
      <c r="I57" s="1" t="n">
        <f aca="false">H57*$I$30</f>
        <v>708972.400016376</v>
      </c>
      <c r="J57" s="1" t="n">
        <f aca="false">I57*$J$32</f>
        <v>141794.480003275</v>
      </c>
      <c r="K57" s="0" t="n">
        <f aca="false">K56*(1+$L$31)</f>
        <v>217880.854015799</v>
      </c>
      <c r="M57" s="1" t="n">
        <f aca="false">M56*(1+$L$31)</f>
        <v>217880.854015799</v>
      </c>
      <c r="O57" s="0" t="n">
        <f aca="false">O56+1</f>
        <v>57</v>
      </c>
      <c r="P57" s="0" t="n">
        <v>2026</v>
      </c>
      <c r="Q57" s="1" t="n">
        <f aca="false">Q56+R56-S56-T56</f>
        <v>26956331.6714236</v>
      </c>
      <c r="R57" s="1" t="n">
        <f aca="false">Q57*$R$30+$R$26</f>
        <v>2521724.87535677</v>
      </c>
      <c r="S57" s="1" t="n">
        <f aca="false">R57*$S$30</f>
        <v>630431.218839192</v>
      </c>
      <c r="T57" s="0" t="n">
        <f aca="false">M57</f>
        <v>217880.854015799</v>
      </c>
    </row>
    <row r="58" customFormat="false" ht="15" hidden="false" customHeight="false" outlineLevel="0" collapsed="false">
      <c r="F58" s="0" t="n">
        <f aca="false">F57+1</f>
        <v>58</v>
      </c>
      <c r="G58" s="0" t="n">
        <v>2027</v>
      </c>
      <c r="H58" s="1" t="n">
        <f aca="false">H57+I57-J57-K57</f>
        <v>9211452.066202</v>
      </c>
      <c r="I58" s="1" t="n">
        <f aca="false">H58*$I$30</f>
        <v>736916.16529616</v>
      </c>
      <c r="J58" s="1" t="n">
        <f aca="false">I58*$J$32</f>
        <v>147383.233059232</v>
      </c>
      <c r="K58" s="0" t="n">
        <f aca="false">K57*(1+$L$31)</f>
        <v>226596.088176431</v>
      </c>
      <c r="M58" s="1" t="n">
        <f aca="false">M57*(1+$L$31)</f>
        <v>226596.088176431</v>
      </c>
      <c r="O58" s="0" t="n">
        <f aca="false">O57+1</f>
        <v>58</v>
      </c>
      <c r="P58" s="0" t="n">
        <v>2027</v>
      </c>
      <c r="Q58" s="1" t="n">
        <f aca="false">Q57+R57-S57-T57</f>
        <v>28629744.4739254</v>
      </c>
      <c r="R58" s="1" t="n">
        <f aca="false">Q58*$R$30+$R$26</f>
        <v>2647230.8355444</v>
      </c>
      <c r="S58" s="1" t="n">
        <f aca="false">R58*$S$30</f>
        <v>661807.708886101</v>
      </c>
      <c r="T58" s="0" t="n">
        <f aca="false">M58</f>
        <v>226596.088176431</v>
      </c>
    </row>
    <row r="59" customFormat="false" ht="15" hidden="false" customHeight="false" outlineLevel="0" collapsed="false">
      <c r="F59" s="0" t="n">
        <f aca="false">F58+1</f>
        <v>59</v>
      </c>
      <c r="G59" s="0" t="n">
        <v>2028</v>
      </c>
      <c r="H59" s="1" t="n">
        <f aca="false">H58+I58-J58-K58</f>
        <v>9574388.9102625</v>
      </c>
      <c r="I59" s="1" t="n">
        <f aca="false">H59*$I$30</f>
        <v>765951.112821</v>
      </c>
      <c r="J59" s="1" t="n">
        <f aca="false">I59*$J$32</f>
        <v>153190.2225642</v>
      </c>
      <c r="K59" s="0" t="n">
        <f aca="false">K58*(1+$L$31)</f>
        <v>235659.931703488</v>
      </c>
      <c r="M59" s="1" t="n">
        <f aca="false">M58*(1+$L$31)</f>
        <v>235659.931703488</v>
      </c>
      <c r="O59" s="0" t="n">
        <f aca="false">O58+1</f>
        <v>59</v>
      </c>
      <c r="P59" s="0" t="n">
        <v>2028</v>
      </c>
      <c r="Q59" s="1" t="n">
        <f aca="false">Q58+R58-S58-T58</f>
        <v>30388571.5124073</v>
      </c>
      <c r="R59" s="1" t="n">
        <f aca="false">Q59*$R$30+$R$26</f>
        <v>2779142.86343054</v>
      </c>
      <c r="S59" s="1" t="n">
        <f aca="false">R59*$S$30</f>
        <v>694785.715857636</v>
      </c>
      <c r="T59" s="0" t="n">
        <f aca="false">M59</f>
        <v>235659.931703488</v>
      </c>
    </row>
    <row r="60" customFormat="false" ht="15" hidden="false" customHeight="false" outlineLevel="0" collapsed="false">
      <c r="F60" s="0" t="n">
        <f aca="false">F59+1</f>
        <v>60</v>
      </c>
      <c r="G60" s="0" t="n">
        <v>2029</v>
      </c>
      <c r="H60" s="1" t="n">
        <f aca="false">H59+I59-J59-K59</f>
        <v>9951489.86881581</v>
      </c>
      <c r="I60" s="1" t="n">
        <f aca="false">H60*$I$30</f>
        <v>796119.189505265</v>
      </c>
      <c r="J60" s="1" t="n">
        <f aca="false">I60*$J$32</f>
        <v>159223.837901053</v>
      </c>
      <c r="K60" s="0" t="n">
        <f aca="false">K59*(1+$L$31)</f>
        <v>245086.328971628</v>
      </c>
      <c r="M60" s="1" t="n">
        <f aca="false">M59*(1+$L$31)</f>
        <v>245086.328971628</v>
      </c>
      <c r="O60" s="0" t="n">
        <f aca="false">O59+1</f>
        <v>60</v>
      </c>
      <c r="P60" s="0" t="n">
        <v>2029</v>
      </c>
      <c r="Q60" s="1" t="n">
        <f aca="false">Q59+R59-S59-T59</f>
        <v>32237268.7282767</v>
      </c>
      <c r="R60" s="1" t="n">
        <f aca="false">Q60*$R$30+$R$26</f>
        <v>2917795.15462075</v>
      </c>
      <c r="S60" s="1" t="n">
        <f aca="false">R60*$S$30</f>
        <v>729448.788655188</v>
      </c>
      <c r="T60" s="0" t="n">
        <f aca="false">M60</f>
        <v>245086.328971628</v>
      </c>
    </row>
    <row r="61" customFormat="false" ht="15" hidden="false" customHeight="false" outlineLevel="0" collapsed="false">
      <c r="F61" s="0" t="n">
        <f aca="false">F60+1</f>
        <v>61</v>
      </c>
      <c r="G61" s="0" t="n">
        <v>2030</v>
      </c>
      <c r="H61" s="1" t="n">
        <f aca="false">H60+I60-J60-K60</f>
        <v>10343298.8914484</v>
      </c>
      <c r="I61" s="1" t="n">
        <f aca="false">H61*$I$30</f>
        <v>827463.911315872</v>
      </c>
      <c r="J61" s="1" t="n">
        <f aca="false">I61*$J$32</f>
        <v>165492.782263174</v>
      </c>
      <c r="K61" s="0" t="n">
        <f aca="false">K60*(1+$L$31)</f>
        <v>254889.782130493</v>
      </c>
      <c r="M61" s="1" t="n">
        <f aca="false">M60*(1+$L$31)</f>
        <v>254889.782130493</v>
      </c>
      <c r="O61" s="0" t="n">
        <f aca="false">O60+1</f>
        <v>61</v>
      </c>
      <c r="P61" s="0" t="n">
        <v>2030</v>
      </c>
      <c r="Q61" s="1" t="n">
        <f aca="false">Q60+R60-S60-T60</f>
        <v>34180528.7652706</v>
      </c>
      <c r="R61" s="1" t="n">
        <f aca="false">Q61*$R$30+$R$26</f>
        <v>3063539.6573953</v>
      </c>
      <c r="S61" s="1" t="n">
        <f aca="false">R61*$S$30</f>
        <v>765884.914348824</v>
      </c>
      <c r="T61" s="0" t="n">
        <f aca="false">M61</f>
        <v>254889.782130493</v>
      </c>
    </row>
    <row r="62" customFormat="false" ht="15" hidden="false" customHeight="false" outlineLevel="0" collapsed="false">
      <c r="F62" s="0" t="n">
        <f aca="false">F61+1</f>
        <v>62</v>
      </c>
      <c r="G62" s="0" t="n">
        <v>2031</v>
      </c>
      <c r="H62" s="1" t="n">
        <f aca="false">H61+I61-J61-K61</f>
        <v>10750380.2383706</v>
      </c>
      <c r="I62" s="1" t="n">
        <f aca="false">H62*$I$30</f>
        <v>860030.419069648</v>
      </c>
      <c r="J62" s="1" t="n">
        <f aca="false">I62*$J$32</f>
        <v>172006.08381393</v>
      </c>
      <c r="K62" s="0" t="n">
        <f aca="false">K61*(1+$L$31)</f>
        <v>265085.373415713</v>
      </c>
      <c r="M62" s="1" t="n">
        <f aca="false">M61*(1+$L$31)</f>
        <v>265085.373415713</v>
      </c>
      <c r="O62" s="0" t="n">
        <f aca="false">O61+1</f>
        <v>62</v>
      </c>
      <c r="P62" s="0" t="n">
        <v>2031</v>
      </c>
      <c r="Q62" s="1" t="n">
        <f aca="false">Q61+R61-S61-T61</f>
        <v>36223293.7261866</v>
      </c>
      <c r="R62" s="1" t="n">
        <f aca="false">Q62*$R$30+$R$26</f>
        <v>3216747.02946399</v>
      </c>
      <c r="S62" s="1" t="n">
        <f aca="false">R62*$S$30</f>
        <v>804186.757365999</v>
      </c>
      <c r="T62" s="0" t="n">
        <f aca="false">M62</f>
        <v>265085.373415713</v>
      </c>
    </row>
    <row r="63" customFormat="false" ht="15" hidden="false" customHeight="false" outlineLevel="0" collapsed="false">
      <c r="F63" s="0" t="n">
        <f aca="false">F62+1</f>
        <v>63</v>
      </c>
      <c r="G63" s="0" t="n">
        <v>2032</v>
      </c>
      <c r="H63" s="1" t="n">
        <f aca="false">H62+I62-J62-K62</f>
        <v>11173319.2002106</v>
      </c>
      <c r="I63" s="1" t="n">
        <f aca="false">H63*$I$30</f>
        <v>893865.536016849</v>
      </c>
      <c r="J63" s="1" t="n">
        <f aca="false">I63*$J$32</f>
        <v>178773.10720337</v>
      </c>
      <c r="K63" s="0" t="n">
        <f aca="false">K62*(1+$L$31)</f>
        <v>275688.788352341</v>
      </c>
      <c r="M63" s="1" t="n">
        <f aca="false">M62*(1+$L$31)</f>
        <v>275688.788352341</v>
      </c>
      <c r="O63" s="0" t="n">
        <f aca="false">O62+1</f>
        <v>63</v>
      </c>
      <c r="P63" s="0" t="n">
        <v>2032</v>
      </c>
      <c r="Q63" s="1" t="n">
        <f aca="false">Q62+R62-S62-T62</f>
        <v>38370768.6248689</v>
      </c>
      <c r="R63" s="1" t="n">
        <f aca="false">Q63*$R$30+$R$26</f>
        <v>3377807.64686516</v>
      </c>
      <c r="S63" s="1" t="n">
        <f aca="false">R63*$S$30</f>
        <v>844451.911716291</v>
      </c>
      <c r="T63" s="0" t="n">
        <f aca="false">M63</f>
        <v>275688.788352341</v>
      </c>
    </row>
    <row r="64" customFormat="false" ht="15" hidden="false" customHeight="false" outlineLevel="0" collapsed="false">
      <c r="F64" s="0" t="n">
        <f aca="false">F63+1</f>
        <v>64</v>
      </c>
      <c r="G64" s="0" t="n">
        <v>2033</v>
      </c>
      <c r="H64" s="1" t="n">
        <f aca="false">H63+I63-J63-K63</f>
        <v>11612722.8406717</v>
      </c>
      <c r="I64" s="1" t="n">
        <f aca="false">H64*$I$30</f>
        <v>929017.82725374</v>
      </c>
      <c r="J64" s="1" t="n">
        <f aca="false">I64*$J$32</f>
        <v>185803.565450748</v>
      </c>
      <c r="K64" s="0" t="n">
        <f aca="false">K63*(1+$L$31)</f>
        <v>286716.339886435</v>
      </c>
      <c r="M64" s="1" t="n">
        <f aca="false">M63*(1+$L$31)</f>
        <v>286716.339886435</v>
      </c>
      <c r="O64" s="0" t="n">
        <f aca="false">O63+1</f>
        <v>64</v>
      </c>
      <c r="P64" s="0" t="n">
        <v>2033</v>
      </c>
      <c r="Q64" s="1" t="n">
        <f aca="false">Q63+R63-S63-T63</f>
        <v>40628435.5716654</v>
      </c>
      <c r="R64" s="1" t="n">
        <f aca="false">Q64*$R$30+$R$26</f>
        <v>3547132.66787491</v>
      </c>
      <c r="S64" s="1" t="n">
        <f aca="false">R64*$S$30</f>
        <v>886783.166968726</v>
      </c>
      <c r="T64" s="0" t="n">
        <f aca="false">M64</f>
        <v>286716.339886435</v>
      </c>
    </row>
    <row r="65" customFormat="false" ht="15" hidden="false" customHeight="false" outlineLevel="0" collapsed="false">
      <c r="F65" s="0" t="n">
        <f aca="false">F64+1</f>
        <v>65</v>
      </c>
      <c r="G65" s="0" t="n">
        <v>2034</v>
      </c>
      <c r="H65" s="1" t="n">
        <f aca="false">H64+I64-J64-K64</f>
        <v>12069220.7625883</v>
      </c>
      <c r="I65" s="1" t="n">
        <f aca="false">H65*$I$30</f>
        <v>965537.661007064</v>
      </c>
      <c r="J65" s="1" t="n">
        <f aca="false">I65*$J$32</f>
        <v>193107.532201413</v>
      </c>
      <c r="K65" s="0" t="n">
        <f aca="false">K64*(1+$L$31)</f>
        <v>298184.993481892</v>
      </c>
      <c r="M65" s="1" t="n">
        <f aca="false">M64*(1+$L$31)</f>
        <v>298184.993481892</v>
      </c>
      <c r="O65" s="0" t="n">
        <f aca="false">O64+1</f>
        <v>65</v>
      </c>
      <c r="P65" s="0" t="n">
        <v>2034</v>
      </c>
      <c r="Q65" s="1" t="n">
        <f aca="false">Q64+R64-S64-T64</f>
        <v>43002068.7326851</v>
      </c>
      <c r="R65" s="1" t="n">
        <f aca="false">Q65*$R$30+$R$26</f>
        <v>3725155.15495139</v>
      </c>
      <c r="S65" s="1" t="n">
        <f aca="false">R65*$S$30</f>
        <v>931288.788737846</v>
      </c>
      <c r="T65" s="0" t="n">
        <f aca="false">M65</f>
        <v>298184.993481892</v>
      </c>
    </row>
    <row r="66" customFormat="false" ht="15" hidden="false" customHeight="false" outlineLevel="0" collapsed="false">
      <c r="F66" s="0" t="n">
        <f aca="false">F65+1</f>
        <v>66</v>
      </c>
      <c r="G66" s="0" t="n">
        <v>2035</v>
      </c>
      <c r="H66" s="1" t="n">
        <f aca="false">H65+I65-J65-K65</f>
        <v>12543465.8979121</v>
      </c>
      <c r="I66" s="1" t="n">
        <f aca="false">H66*$I$30</f>
        <v>1003477.27183296</v>
      </c>
      <c r="J66" s="1" t="n">
        <f aca="false">I66*$J$32</f>
        <v>200695.454366593</v>
      </c>
      <c r="K66" s="0" t="n">
        <f aca="false">K65*(1+$L$31)</f>
        <v>310112.393221168</v>
      </c>
      <c r="M66" s="1" t="n">
        <f aca="false">M65*(1+$L$31)</f>
        <v>310112.393221168</v>
      </c>
      <c r="O66" s="0" t="n">
        <f aca="false">O65+1</f>
        <v>66</v>
      </c>
      <c r="P66" s="0" t="n">
        <v>2035</v>
      </c>
      <c r="Q66" s="1" t="n">
        <f aca="false">Q65+R65-S65-T65</f>
        <v>45497750.1054168</v>
      </c>
      <c r="R66" s="1" t="n">
        <f aca="false">Q66*$R$30+$R$26</f>
        <v>3912331.25790626</v>
      </c>
      <c r="S66" s="1" t="n">
        <f aca="false">R66*$S$30</f>
        <v>978082.814476565</v>
      </c>
      <c r="T66" s="0" t="n">
        <f aca="false">M66</f>
        <v>310112.393221168</v>
      </c>
    </row>
    <row r="67" customFormat="false" ht="15" hidden="false" customHeight="false" outlineLevel="0" collapsed="false">
      <c r="F67" s="0" t="n">
        <f aca="false">F66+1</f>
        <v>67</v>
      </c>
      <c r="G67" s="0" t="n">
        <v>2036</v>
      </c>
      <c r="H67" s="1" t="n">
        <f aca="false">H66+I66-J66-K66</f>
        <v>13036135.3221573</v>
      </c>
      <c r="I67" s="1" t="n">
        <f aca="false">H67*$I$30</f>
        <v>1042890.82577258</v>
      </c>
      <c r="J67" s="1" t="n">
        <f aca="false">I67*$J$32</f>
        <v>208578.165154516</v>
      </c>
      <c r="K67" s="0" t="n">
        <f aca="false">K66*(1+$L$31)</f>
        <v>322516.888950014</v>
      </c>
      <c r="M67" s="1" t="n">
        <f aca="false">M66*(1+$L$31)</f>
        <v>322516.888950014</v>
      </c>
      <c r="O67" s="0" t="n">
        <f aca="false">O66+1</f>
        <v>67</v>
      </c>
      <c r="P67" s="0" t="n">
        <v>2036</v>
      </c>
      <c r="Q67" s="1" t="n">
        <f aca="false">Q66+R66-S66-T66</f>
        <v>48121886.1556253</v>
      </c>
      <c r="R67" s="1" t="n">
        <f aca="false">Q67*$R$30+$R$26</f>
        <v>4109141.4616719</v>
      </c>
      <c r="S67" s="1" t="n">
        <f aca="false">R67*$S$30</f>
        <v>1027285.36541797</v>
      </c>
      <c r="T67" s="0" t="n">
        <f aca="false">M67</f>
        <v>322516.888950014</v>
      </c>
    </row>
    <row r="68" customFormat="false" ht="15" hidden="false" customHeight="false" outlineLevel="0" collapsed="false">
      <c r="F68" s="0" t="n">
        <f aca="false">F67+1</f>
        <v>68</v>
      </c>
      <c r="G68" s="0" t="n">
        <v>2037</v>
      </c>
      <c r="H68" s="1" t="n">
        <f aca="false">H67+I67-J67-K67</f>
        <v>13547931.0938253</v>
      </c>
      <c r="I68" s="1" t="n">
        <f aca="false">H68*$I$30</f>
        <v>1083834.48750603</v>
      </c>
      <c r="J68" s="1" t="n">
        <f aca="false">I68*$J$32</f>
        <v>216766.897501205</v>
      </c>
      <c r="K68" s="0" t="n">
        <f aca="false">K67*(1+$L$31)</f>
        <v>335417.564508015</v>
      </c>
      <c r="M68" s="1" t="n">
        <f aca="false">M67*(1+$L$31)</f>
        <v>335417.564508015</v>
      </c>
      <c r="O68" s="0" t="n">
        <f aca="false">O67+1</f>
        <v>68</v>
      </c>
      <c r="P68" s="0" t="n">
        <v>2037</v>
      </c>
      <c r="Q68" s="1" t="n">
        <f aca="false">Q67+R67-S67-T67</f>
        <v>50881225.3629292</v>
      </c>
      <c r="R68" s="1" t="n">
        <f aca="false">Q68*$R$30+$R$26</f>
        <v>4316091.90221969</v>
      </c>
      <c r="S68" s="1" t="n">
        <f aca="false">R68*$S$30</f>
        <v>1079022.97555492</v>
      </c>
      <c r="T68" s="0" t="n">
        <f aca="false">M68</f>
        <v>335417.564508015</v>
      </c>
    </row>
    <row r="69" customFormat="false" ht="15" hidden="false" customHeight="false" outlineLevel="0" collapsed="false">
      <c r="F69" s="0" t="n">
        <f aca="false">F68+1</f>
        <v>69</v>
      </c>
      <c r="G69" s="0" t="n">
        <v>2038</v>
      </c>
      <c r="H69" s="1" t="n">
        <f aca="false">H68+I68-J68-K68</f>
        <v>14079581.1193221</v>
      </c>
      <c r="I69" s="1" t="n">
        <f aca="false">H69*$I$30</f>
        <v>1126366.48954577</v>
      </c>
      <c r="J69" s="1" t="n">
        <f aca="false">I69*$J$32</f>
        <v>225273.297909154</v>
      </c>
      <c r="K69" s="0" t="n">
        <f aca="false">K68*(1+$L$31)</f>
        <v>348834.267088336</v>
      </c>
      <c r="M69" s="1" t="n">
        <f aca="false">M68*(1+$L$31)</f>
        <v>348834.267088336</v>
      </c>
      <c r="O69" s="0" t="n">
        <f aca="false">O68+1</f>
        <v>69</v>
      </c>
      <c r="P69" s="0" t="n">
        <v>2038</v>
      </c>
      <c r="Q69" s="1" t="n">
        <f aca="false">Q68+R68-S68-T68</f>
        <v>53782876.725086</v>
      </c>
      <c r="R69" s="1" t="n">
        <f aca="false">Q69*$R$30+$R$26</f>
        <v>4533715.75438145</v>
      </c>
      <c r="S69" s="1" t="n">
        <f aca="false">R69*$S$30</f>
        <v>1133428.93859536</v>
      </c>
      <c r="T69" s="0" t="n">
        <f aca="false">M69</f>
        <v>348834.267088336</v>
      </c>
    </row>
    <row r="70" customFormat="false" ht="15" hidden="false" customHeight="false" outlineLevel="0" collapsed="false">
      <c r="F70" s="0" t="n">
        <f aca="false">F69+1</f>
        <v>70</v>
      </c>
      <c r="G70" s="0" t="n">
        <v>2039</v>
      </c>
      <c r="H70" s="1" t="n">
        <f aca="false">H69+I69-J69-K69</f>
        <v>14631840.0438704</v>
      </c>
      <c r="I70" s="1" t="n">
        <f aca="false">H70*$I$30</f>
        <v>1170547.20350963</v>
      </c>
      <c r="J70" s="1" t="n">
        <f aca="false">I70*$J$32</f>
        <v>234109.440701926</v>
      </c>
      <c r="K70" s="0" t="n">
        <f aca="false">K69*(1+$L$31)</f>
        <v>362787.637771869</v>
      </c>
      <c r="M70" s="1" t="n">
        <f aca="false">M69*(1+$L$31)</f>
        <v>362787.637771869</v>
      </c>
      <c r="O70" s="0" t="n">
        <f aca="false">O69+1</f>
        <v>70</v>
      </c>
      <c r="P70" s="0" t="n">
        <v>2039</v>
      </c>
      <c r="Q70" s="1" t="n">
        <f aca="false">Q69+R69-S69-T69</f>
        <v>56834329.2737837</v>
      </c>
      <c r="R70" s="1" t="n">
        <f aca="false">Q70*$R$30+$R$26</f>
        <v>4762574.69553378</v>
      </c>
      <c r="S70" s="1" t="n">
        <f aca="false">R70*$S$30</f>
        <v>1190643.67388344</v>
      </c>
      <c r="T70" s="0" t="n">
        <f aca="false">M70</f>
        <v>362787.637771869</v>
      </c>
    </row>
    <row r="71" customFormat="false" ht="15" hidden="false" customHeight="false" outlineLevel="0" collapsed="false">
      <c r="F71" s="0" t="n">
        <f aca="false">F70+1</f>
        <v>71</v>
      </c>
      <c r="G71" s="0" t="n">
        <v>2040</v>
      </c>
      <c r="H71" s="1" t="n">
        <f aca="false">H70+I70-J70-K70</f>
        <v>15205490.1689062</v>
      </c>
      <c r="I71" s="1" t="n">
        <f aca="false">H71*$I$30</f>
        <v>1216439.2135125</v>
      </c>
      <c r="J71" s="1" t="n">
        <f aca="false">I71*$J$32</f>
        <v>243287.8427025</v>
      </c>
      <c r="K71" s="0" t="n">
        <f aca="false">K70*(1+$L$31)</f>
        <v>377299.143282744</v>
      </c>
      <c r="M71" s="1" t="n">
        <f aca="false">M70*(1+$L$31)</f>
        <v>377299.143282744</v>
      </c>
      <c r="O71" s="0" t="n">
        <f aca="false">O70+1</f>
        <v>71</v>
      </c>
      <c r="P71" s="0" t="n">
        <v>2040</v>
      </c>
      <c r="Q71" s="1" t="n">
        <f aca="false">Q70+R70-S70-T70</f>
        <v>60043472.6576622</v>
      </c>
      <c r="R71" s="1" t="n">
        <f aca="false">Q71*$R$30+$R$26</f>
        <v>5003260.44932467</v>
      </c>
      <c r="S71" s="1" t="n">
        <f aca="false">R71*$S$30</f>
        <v>1250815.11233117</v>
      </c>
      <c r="T71" s="0" t="n">
        <f aca="false">M71</f>
        <v>377299.143282744</v>
      </c>
    </row>
    <row r="72" customFormat="false" ht="15" hidden="false" customHeight="false" outlineLevel="0" collapsed="false">
      <c r="F72" s="0" t="n">
        <f aca="false">F71+1</f>
        <v>72</v>
      </c>
      <c r="G72" s="0" t="n">
        <v>2041</v>
      </c>
      <c r="H72" s="1" t="n">
        <f aca="false">H71+I71-J71-K71</f>
        <v>15801342.3964335</v>
      </c>
      <c r="I72" s="1" t="n">
        <f aca="false">H72*$I$30</f>
        <v>1264107.39171468</v>
      </c>
      <c r="J72" s="1" t="n">
        <f aca="false">I72*$J$32</f>
        <v>252821.478342936</v>
      </c>
      <c r="K72" s="0" t="n">
        <f aca="false">K71*(1+$L$31)</f>
        <v>392391.109014054</v>
      </c>
      <c r="M72" s="1" t="n">
        <f aca="false">M71*(1+$L$31)</f>
        <v>392391.109014054</v>
      </c>
      <c r="O72" s="0" t="n">
        <f aca="false">O71+1</f>
        <v>72</v>
      </c>
      <c r="P72" s="0" t="n">
        <v>2041</v>
      </c>
      <c r="Q72" s="1" t="n">
        <f aca="false">Q71+R71-S71-T71</f>
        <v>63418618.851373</v>
      </c>
      <c r="R72" s="1" t="n">
        <f aca="false">Q72*$R$30+$R$26</f>
        <v>5256396.41385297</v>
      </c>
      <c r="S72" s="1" t="n">
        <f aca="false">R72*$S$30</f>
        <v>1314099.10346324</v>
      </c>
      <c r="T72" s="0" t="n">
        <f aca="false">M72</f>
        <v>392391.109014054</v>
      </c>
    </row>
    <row r="73" customFormat="false" ht="15" hidden="false" customHeight="false" outlineLevel="0" collapsed="false">
      <c r="F73" s="0" t="n">
        <f aca="false">F72+1</f>
        <v>73</v>
      </c>
      <c r="G73" s="0" t="n">
        <v>2042</v>
      </c>
      <c r="H73" s="1" t="n">
        <f aca="false">H72+I72-J72-K72</f>
        <v>16420237.2007912</v>
      </c>
      <c r="I73" s="1" t="n">
        <f aca="false">H73*$I$30</f>
        <v>1313618.9760633</v>
      </c>
      <c r="J73" s="1" t="n">
        <f aca="false">I73*$J$32</f>
        <v>262723.795212659</v>
      </c>
      <c r="K73" s="0" t="n">
        <f aca="false">K72*(1+$L$31)</f>
        <v>408086.753374616</v>
      </c>
      <c r="M73" s="1" t="n">
        <f aca="false">M72*(1+$L$31)</f>
        <v>408086.753374616</v>
      </c>
      <c r="O73" s="0" t="n">
        <f aca="false">O72+1</f>
        <v>73</v>
      </c>
      <c r="P73" s="0" t="n">
        <v>2042</v>
      </c>
      <c r="Q73" s="1" t="n">
        <f aca="false">Q72+R72-S72-T72</f>
        <v>66968525.0527486</v>
      </c>
      <c r="R73" s="1" t="n">
        <f aca="false">Q73*$R$30+$R$26</f>
        <v>5522639.37895615</v>
      </c>
      <c r="S73" s="1" t="n">
        <f aca="false">R73*$S$30</f>
        <v>1380659.84473904</v>
      </c>
      <c r="T73" s="0" t="n">
        <f aca="false">M73</f>
        <v>408086.753374616</v>
      </c>
    </row>
    <row r="74" customFormat="false" ht="15" hidden="false" customHeight="false" outlineLevel="0" collapsed="false">
      <c r="F74" s="0" t="n">
        <f aca="false">F73+1</f>
        <v>74</v>
      </c>
      <c r="G74" s="0" t="n">
        <v>2043</v>
      </c>
      <c r="H74" s="1" t="n">
        <f aca="false">H73+I73-J73-K73</f>
        <v>17063045.6282672</v>
      </c>
      <c r="I74" s="1" t="n">
        <f aca="false">H74*$I$30</f>
        <v>1365043.65026138</v>
      </c>
      <c r="J74" s="1" t="n">
        <f aca="false">I74*$J$32</f>
        <v>273008.730052275</v>
      </c>
      <c r="K74" s="0" t="n">
        <f aca="false">K73*(1+$L$31)</f>
        <v>424410.2235096</v>
      </c>
      <c r="M74" s="1" t="n">
        <f aca="false">M73*(1+$L$31)</f>
        <v>424410.2235096</v>
      </c>
      <c r="O74" s="0" t="n">
        <f aca="false">O73+1</f>
        <v>74</v>
      </c>
      <c r="P74" s="0" t="n">
        <v>2043</v>
      </c>
      <c r="Q74" s="1" t="n">
        <f aca="false">Q73+R73-S73-T73</f>
        <v>70702417.8335911</v>
      </c>
      <c r="R74" s="1" t="n">
        <f aca="false">Q74*$R$30+$R$26</f>
        <v>5802681.33751933</v>
      </c>
      <c r="S74" s="1" t="n">
        <f aca="false">R74*$S$30</f>
        <v>1450670.33437983</v>
      </c>
      <c r="T74" s="0" t="n">
        <f aca="false">M74</f>
        <v>424410.2235096</v>
      </c>
    </row>
    <row r="75" customFormat="false" ht="15" hidden="false" customHeight="false" outlineLevel="0" collapsed="false">
      <c r="F75" s="0" t="n">
        <f aca="false">F74+1</f>
        <v>75</v>
      </c>
      <c r="G75" s="0" t="n">
        <v>2044</v>
      </c>
      <c r="H75" s="1" t="n">
        <f aca="false">H74+I74-J74-K74</f>
        <v>17730670.3249667</v>
      </c>
      <c r="I75" s="1" t="n">
        <f aca="false">H75*$I$30</f>
        <v>1418453.62599734</v>
      </c>
      <c r="J75" s="1" t="n">
        <f aca="false">I75*$J$32</f>
        <v>283690.725199467</v>
      </c>
      <c r="K75" s="0" t="n">
        <f aca="false">K74*(1+$L$31)</f>
        <v>441386.632449984</v>
      </c>
      <c r="M75" s="1" t="n">
        <f aca="false">M74*(1+$L$31)</f>
        <v>441386.632449984</v>
      </c>
      <c r="O75" s="0" t="n">
        <f aca="false">O74+1</f>
        <v>75</v>
      </c>
      <c r="P75" s="0" t="n">
        <v>2044</v>
      </c>
      <c r="Q75" s="1" t="n">
        <f aca="false">Q74+R74-S74-T74</f>
        <v>74630018.613221</v>
      </c>
      <c r="R75" s="1" t="n">
        <f aca="false">Q75*$R$30+$R$26</f>
        <v>6097251.39599158</v>
      </c>
      <c r="S75" s="1" t="n">
        <f aca="false">R75*$S$30</f>
        <v>1524312.84899789</v>
      </c>
      <c r="T75" s="0" t="n">
        <f aca="false">M75</f>
        <v>441386.632449984</v>
      </c>
    </row>
    <row r="76" customFormat="false" ht="15" hidden="false" customHeight="false" outlineLevel="0" collapsed="false">
      <c r="F76" s="0" t="n">
        <f aca="false">F75+1</f>
        <v>76</v>
      </c>
      <c r="G76" s="0" t="n">
        <v>2045</v>
      </c>
      <c r="H76" s="1" t="n">
        <f aca="false">H75+I75-J75-K75</f>
        <v>18424046.5933146</v>
      </c>
      <c r="I76" s="1" t="n">
        <f aca="false">H76*$I$30</f>
        <v>1473923.72746517</v>
      </c>
      <c r="J76" s="1" t="n">
        <f aca="false">I76*$J$32</f>
        <v>294784.745493034</v>
      </c>
      <c r="K76" s="0" t="n">
        <f aca="false">K75*(1+$L$31)</f>
        <v>459042.097747984</v>
      </c>
      <c r="M76" s="1" t="n">
        <f aca="false">M75*(1+$L$31)</f>
        <v>459042.097747984</v>
      </c>
      <c r="O76" s="0" t="n">
        <f aca="false">O75+1</f>
        <v>76</v>
      </c>
      <c r="P76" s="0" t="n">
        <v>2045</v>
      </c>
      <c r="Q76" s="1" t="n">
        <f aca="false">Q75+R75-S75-T75</f>
        <v>78761570.5277647</v>
      </c>
      <c r="R76" s="1" t="n">
        <f aca="false">Q76*$R$30+$R$26</f>
        <v>6407117.78958235</v>
      </c>
      <c r="S76" s="1" t="n">
        <f aca="false">R76*$S$30</f>
        <v>1601779.44739559</v>
      </c>
      <c r="T76" s="0" t="n">
        <f aca="false">M76</f>
        <v>459042.097747984</v>
      </c>
    </row>
    <row r="77" customFormat="false" ht="15" hidden="false" customHeight="false" outlineLevel="0" collapsed="false">
      <c r="F77" s="0" t="n">
        <f aca="false">F76+1</f>
        <v>77</v>
      </c>
      <c r="G77" s="0" t="n">
        <v>2046</v>
      </c>
      <c r="H77" s="1" t="n">
        <f aca="false">H76+I76-J76-K76</f>
        <v>19144143.4775387</v>
      </c>
      <c r="I77" s="1" t="n">
        <f aca="false">H77*$I$30</f>
        <v>1531531.4782031</v>
      </c>
      <c r="J77" s="1" t="n">
        <f aca="false">I77*$J$32</f>
        <v>306306.29564062</v>
      </c>
      <c r="K77" s="0" t="n">
        <f aca="false">K76*(1+$L$31)</f>
        <v>477403.781657903</v>
      </c>
      <c r="M77" s="1" t="n">
        <f aca="false">M76*(1+$L$31)</f>
        <v>477403.781657903</v>
      </c>
      <c r="O77" s="0" t="n">
        <f aca="false">O76+1</f>
        <v>77</v>
      </c>
      <c r="P77" s="0" t="n">
        <v>2046</v>
      </c>
      <c r="Q77" s="1" t="n">
        <f aca="false">Q76+R76-S76-T76</f>
        <v>83107866.7722035</v>
      </c>
      <c r="R77" s="1" t="n">
        <f aca="false">Q77*$R$30+$R$26</f>
        <v>6733090.00791526</v>
      </c>
      <c r="S77" s="1" t="n">
        <f aca="false">R77*$S$30</f>
        <v>1683272.50197882</v>
      </c>
      <c r="T77" s="0" t="n">
        <f aca="false">M77</f>
        <v>477403.781657903</v>
      </c>
    </row>
    <row r="78" customFormat="false" ht="15" hidden="false" customHeight="false" outlineLevel="0" collapsed="false">
      <c r="F78" s="0" t="n">
        <f aca="false">F77+1</f>
        <v>78</v>
      </c>
      <c r="G78" s="0" t="n">
        <v>2047</v>
      </c>
      <c r="H78" s="1" t="n">
        <f aca="false">H77+I77-J77-K77</f>
        <v>19891964.8784433</v>
      </c>
      <c r="I78" s="1" t="n">
        <f aca="false">H78*$I$30</f>
        <v>1591357.19027547</v>
      </c>
      <c r="J78" s="1" t="n">
        <f aca="false">I78*$J$32</f>
        <v>318271.438055093</v>
      </c>
      <c r="K78" s="0" t="n">
        <f aca="false">K77*(1+$L$31)</f>
        <v>496499.932924219</v>
      </c>
      <c r="M78" s="1" t="n">
        <f aca="false">M77*(1+$L$31)</f>
        <v>496499.932924219</v>
      </c>
      <c r="O78" s="0" t="n">
        <f aca="false">O77+1</f>
        <v>78</v>
      </c>
      <c r="P78" s="0" t="n">
        <v>2047</v>
      </c>
      <c r="Q78" s="1" t="n">
        <f aca="false">Q77+R77-S77-T77</f>
        <v>87680280.496482</v>
      </c>
      <c r="R78" s="1" t="n">
        <f aca="false">Q78*$R$30+$R$26</f>
        <v>7076021.03723615</v>
      </c>
      <c r="S78" s="1" t="n">
        <f aca="false">R78*$S$30</f>
        <v>1769005.25930904</v>
      </c>
      <c r="T78" s="0" t="n">
        <f aca="false">M78</f>
        <v>496499.932924219</v>
      </c>
    </row>
    <row r="79" customFormat="false" ht="15" hidden="false" customHeight="false" outlineLevel="0" collapsed="false">
      <c r="F79" s="0" t="n">
        <f aca="false">F78+1</f>
        <v>79</v>
      </c>
      <c r="G79" s="0" t="n">
        <v>2048</v>
      </c>
      <c r="H79" s="1" t="n">
        <f aca="false">H78+I78-J78-K78</f>
        <v>20668550.6977395</v>
      </c>
      <c r="I79" s="1" t="n">
        <f aca="false">H79*$I$30</f>
        <v>1653484.05581916</v>
      </c>
      <c r="J79" s="1" t="n">
        <f aca="false">I79*$J$32</f>
        <v>330696.811163832</v>
      </c>
      <c r="K79" s="0" t="n">
        <f aca="false">K78*(1+$L$31)</f>
        <v>516359.930241188</v>
      </c>
      <c r="M79" s="1" t="n">
        <f aca="false">M78*(1+$L$31)</f>
        <v>516359.930241188</v>
      </c>
      <c r="O79" s="0" t="n">
        <f aca="false">O78+1</f>
        <v>79</v>
      </c>
      <c r="P79" s="0" t="n">
        <v>2048</v>
      </c>
      <c r="Q79" s="1" t="n">
        <f aca="false">Q78+R78-S78-T78</f>
        <v>92490796.3414849</v>
      </c>
      <c r="R79" s="1" t="n">
        <f aca="false">Q79*$R$30+$R$26</f>
        <v>7436809.72561137</v>
      </c>
      <c r="S79" s="1" t="n">
        <f aca="false">R79*$S$30</f>
        <v>1859202.43140284</v>
      </c>
      <c r="T79" s="0" t="n">
        <f aca="false">M79</f>
        <v>516359.930241188</v>
      </c>
    </row>
    <row r="80" customFormat="false" ht="15" hidden="false" customHeight="false" outlineLevel="0" collapsed="false">
      <c r="F80" s="0" t="n">
        <f aca="false">F79+1</f>
        <v>80</v>
      </c>
      <c r="G80" s="0" t="n">
        <v>2049</v>
      </c>
      <c r="H80" s="1" t="n">
        <f aca="false">H79+I79-J79-K79</f>
        <v>21474978.0121536</v>
      </c>
      <c r="I80" s="1" t="n">
        <f aca="false">H80*$I$30</f>
        <v>1717998.24097229</v>
      </c>
      <c r="J80" s="1" t="n">
        <f aca="false">I80*$J$32</f>
        <v>343599.648194458</v>
      </c>
      <c r="K80" s="0" t="n">
        <f aca="false">K79*(1+$L$31)</f>
        <v>537014.327450836</v>
      </c>
      <c r="M80" s="1" t="n">
        <f aca="false">M79*(1+$L$31)</f>
        <v>537014.327450836</v>
      </c>
      <c r="O80" s="0" t="n">
        <f aca="false">O79+1</f>
        <v>80</v>
      </c>
      <c r="P80" s="0" t="n">
        <v>2049</v>
      </c>
      <c r="Q80" s="1" t="n">
        <f aca="false">Q79+R79-S79-T79</f>
        <v>97552043.7054523</v>
      </c>
      <c r="R80" s="1" t="n">
        <f aca="false">Q80*$R$30+$R$26</f>
        <v>7816403.27790892</v>
      </c>
      <c r="S80" s="1" t="n">
        <f aca="false">R80*$S$30</f>
        <v>1954100.81947723</v>
      </c>
      <c r="T80" s="0" t="n">
        <f aca="false">M80</f>
        <v>537014.327450836</v>
      </c>
    </row>
    <row r="81" customFormat="false" ht="15" hidden="false" customHeight="false" outlineLevel="0" collapsed="false">
      <c r="F81" s="0" t="n">
        <f aca="false">F80+1</f>
        <v>81</v>
      </c>
      <c r="G81" s="0" t="n">
        <v>2050</v>
      </c>
      <c r="H81" s="1" t="n">
        <f aca="false">H80+I80-J80-K80</f>
        <v>22312362.2774806</v>
      </c>
      <c r="I81" s="1" t="n">
        <f aca="false">H81*$I$30</f>
        <v>1784988.98219845</v>
      </c>
      <c r="J81" s="1" t="n">
        <f aca="false">I81*$J$32</f>
        <v>356997.79643969</v>
      </c>
      <c r="K81" s="0" t="n">
        <f aca="false">K80*(1+$L$31)</f>
        <v>558494.900548869</v>
      </c>
      <c r="M81" s="1" t="n">
        <f aca="false">M80*(1+$L$31)</f>
        <v>558494.900548869</v>
      </c>
      <c r="O81" s="0" t="n">
        <f aca="false">O80+1</f>
        <v>81</v>
      </c>
      <c r="P81" s="0" t="n">
        <v>2050</v>
      </c>
      <c r="Q81" s="1" t="n">
        <f aca="false">Q80+R80-S80-T80</f>
        <v>102877331.836433</v>
      </c>
      <c r="R81" s="1" t="n">
        <f aca="false">Q81*$R$30+$R$26</f>
        <v>8215799.88773248</v>
      </c>
      <c r="S81" s="1" t="n">
        <f aca="false">R81*$S$30</f>
        <v>2053949.97193312</v>
      </c>
      <c r="T81" s="0" t="n">
        <f aca="false">M81</f>
        <v>558494.900548869</v>
      </c>
    </row>
    <row r="82" customFormat="false" ht="15" hidden="false" customHeight="false" outlineLevel="0" collapsed="false">
      <c r="F82" s="0" t="n">
        <f aca="false">F81+1</f>
        <v>82</v>
      </c>
      <c r="G82" s="0" t="n">
        <v>2051</v>
      </c>
      <c r="H82" s="1" t="n">
        <f aca="false">H81+I81-J81-K81</f>
        <v>23181858.5626905</v>
      </c>
      <c r="I82" s="1" t="n">
        <f aca="false">H82*$I$30</f>
        <v>1854548.68501524</v>
      </c>
      <c r="J82" s="1" t="n">
        <f aca="false">I82*$J$32</f>
        <v>370909.737003048</v>
      </c>
      <c r="K82" s="0" t="n">
        <f aca="false">K81*(1+$L$31)</f>
        <v>580834.696570824</v>
      </c>
      <c r="M82" s="1" t="n">
        <f aca="false">M81*(1+$L$31)</f>
        <v>580834.696570824</v>
      </c>
      <c r="O82" s="0" t="n">
        <f aca="false">O81+1</f>
        <v>82</v>
      </c>
      <c r="P82" s="0" t="n">
        <v>2051</v>
      </c>
      <c r="Q82" s="1" t="n">
        <f aca="false">Q81+R81-S81-T81</f>
        <v>108480686.851684</v>
      </c>
      <c r="R82" s="1" t="n">
        <f aca="false">Q82*$R$30+$R$26</f>
        <v>8636051.51387627</v>
      </c>
      <c r="S82" s="1" t="n">
        <f aca="false">R82*$S$30</f>
        <v>2159012.87846907</v>
      </c>
      <c r="T82" s="0" t="n">
        <f aca="false">M82</f>
        <v>580834.696570824</v>
      </c>
    </row>
    <row r="83" customFormat="false" ht="15" hidden="false" customHeight="false" outlineLevel="0" collapsed="false">
      <c r="F83" s="0" t="n">
        <f aca="false">F82+1</f>
        <v>83</v>
      </c>
      <c r="G83" s="0" t="n">
        <v>2052</v>
      </c>
      <c r="H83" s="1" t="n">
        <f aca="false">H82+I82-J82-K82</f>
        <v>24084662.8141319</v>
      </c>
      <c r="I83" s="1" t="n">
        <f aca="false">H83*$I$30</f>
        <v>1926773.02513055</v>
      </c>
      <c r="J83" s="1" t="n">
        <f aca="false">I83*$J$32</f>
        <v>385354.60502611</v>
      </c>
      <c r="K83" s="0" t="n">
        <f aca="false">K82*(1+$L$31)</f>
        <v>604068.084433657</v>
      </c>
      <c r="M83" s="1" t="n">
        <f aca="false">M82*(1+$L$31)</f>
        <v>604068.084433657</v>
      </c>
      <c r="O83" s="0" t="n">
        <f aca="false">O82+1</f>
        <v>83</v>
      </c>
      <c r="P83" s="0" t="n">
        <v>2052</v>
      </c>
      <c r="Q83" s="1" t="n">
        <f aca="false">Q82+R82-S82-T82</f>
        <v>114376890.79052</v>
      </c>
      <c r="R83" s="1" t="n">
        <f aca="false">Q83*$R$30+$R$26</f>
        <v>9078266.809289</v>
      </c>
      <c r="S83" s="1" t="n">
        <f aca="false">R83*$S$30</f>
        <v>2269566.70232225</v>
      </c>
      <c r="T83" s="0" t="n">
        <f aca="false">M83</f>
        <v>604068.084433657</v>
      </c>
    </row>
    <row r="84" customFormat="false" ht="15" hidden="false" customHeight="false" outlineLevel="0" collapsed="false">
      <c r="F84" s="0" t="n">
        <f aca="false">F83+1</f>
        <v>84</v>
      </c>
      <c r="G84" s="0" t="n">
        <v>2053</v>
      </c>
      <c r="H84" s="1" t="n">
        <f aca="false">H83+I83-J83-K83</f>
        <v>25022013.1498026</v>
      </c>
      <c r="I84" s="1" t="n">
        <f aca="false">H84*$I$30</f>
        <v>2001761.05198421</v>
      </c>
      <c r="J84" s="1" t="n">
        <f aca="false">I84*$J$32</f>
        <v>400352.210396842</v>
      </c>
      <c r="K84" s="0" t="n">
        <f aca="false">K83*(1+$L$31)</f>
        <v>628230.807811003</v>
      </c>
      <c r="M84" s="1" t="n">
        <f aca="false">M83*(1+$L$31)</f>
        <v>628230.807811003</v>
      </c>
      <c r="O84" s="0" t="n">
        <f aca="false">O83+1</f>
        <v>84</v>
      </c>
      <c r="P84" s="0" t="n">
        <v>2053</v>
      </c>
      <c r="Q84" s="1" t="n">
        <f aca="false">Q83+R83-S83-T83</f>
        <v>120581522.813053</v>
      </c>
      <c r="R84" s="1" t="n">
        <f aca="false">Q84*$R$30+$R$26</f>
        <v>9543614.21097898</v>
      </c>
      <c r="S84" s="1" t="n">
        <f aca="false">R84*$S$30</f>
        <v>2385903.55274475</v>
      </c>
      <c r="T84" s="0" t="n">
        <f aca="false">M84</f>
        <v>628230.807811003</v>
      </c>
    </row>
    <row r="85" customFormat="false" ht="15" hidden="false" customHeight="false" outlineLevel="0" collapsed="false">
      <c r="F85" s="0" t="n">
        <f aca="false">F84+1</f>
        <v>85</v>
      </c>
      <c r="G85" s="0" t="n">
        <v>2054</v>
      </c>
      <c r="H85" s="1" t="n">
        <f aca="false">H84+I84-J84-K84</f>
        <v>25995191.183579</v>
      </c>
      <c r="I85" s="1" t="n">
        <f aca="false">H85*$I$30</f>
        <v>2079615.29468632</v>
      </c>
      <c r="J85" s="1" t="n">
        <f aca="false">I85*$J$32</f>
        <v>415923.058937264</v>
      </c>
      <c r="K85" s="0" t="n">
        <f aca="false">K84*(1+$L$31)</f>
        <v>653360.040123443</v>
      </c>
      <c r="M85" s="1" t="n">
        <f aca="false">M84*(1+$L$31)</f>
        <v>653360.040123443</v>
      </c>
      <c r="O85" s="0" t="n">
        <f aca="false">O84+1</f>
        <v>85</v>
      </c>
      <c r="P85" s="0" t="n">
        <v>2054</v>
      </c>
      <c r="Q85" s="1" t="n">
        <f aca="false">Q84+R84-S84-T84</f>
        <v>127111002.663476</v>
      </c>
      <c r="R85" s="1" t="n">
        <f aca="false">Q85*$R$30+$R$26</f>
        <v>10033325.1997607</v>
      </c>
      <c r="S85" s="1" t="n">
        <f aca="false">R85*$S$30</f>
        <v>2508331.29994018</v>
      </c>
      <c r="T85" s="0" t="n">
        <f aca="false">M85</f>
        <v>653360.040123443</v>
      </c>
    </row>
    <row r="86" customFormat="false" ht="15" hidden="false" customHeight="false" outlineLevel="0" collapsed="false">
      <c r="F86" s="0" t="n">
        <f aca="false">F85+1</f>
        <v>86</v>
      </c>
      <c r="G86" s="0" t="n">
        <v>2055</v>
      </c>
      <c r="H86" s="1" t="n">
        <f aca="false">H85+I85-J85-K85</f>
        <v>27005523.3792046</v>
      </c>
      <c r="I86" s="1" t="n">
        <f aca="false">H86*$I$30</f>
        <v>2160441.87033637</v>
      </c>
      <c r="J86" s="1" t="n">
        <f aca="false">I86*$J$32</f>
        <v>432088.374067274</v>
      </c>
      <c r="K86" s="0" t="n">
        <f aca="false">K85*(1+$L$31)</f>
        <v>679494.441728381</v>
      </c>
      <c r="M86" s="1" t="n">
        <f aca="false">M85*(1+$L$31)</f>
        <v>679494.441728381</v>
      </c>
      <c r="O86" s="0" t="n">
        <f aca="false">O85+1</f>
        <v>86</v>
      </c>
      <c r="P86" s="0" t="n">
        <v>2055</v>
      </c>
      <c r="Q86" s="1" t="n">
        <f aca="false">Q85+R85-S85-T85</f>
        <v>133982636.523173</v>
      </c>
      <c r="R86" s="1" t="n">
        <f aca="false">Q86*$R$30+$R$26</f>
        <v>10548697.739238</v>
      </c>
      <c r="S86" s="1" t="n">
        <f aca="false">R86*$S$30</f>
        <v>2637174.4348095</v>
      </c>
      <c r="T86" s="0" t="n">
        <f aca="false">M86</f>
        <v>679494.441728381</v>
      </c>
    </row>
    <row r="87" customFormat="false" ht="15" hidden="false" customHeight="false" outlineLevel="0" collapsed="false">
      <c r="F87" s="0" t="n">
        <f aca="false">F86+1</f>
        <v>87</v>
      </c>
      <c r="G87" s="0" t="n">
        <v>2056</v>
      </c>
      <c r="H87" s="1" t="n">
        <f aca="false">H86+I86-J86-K86</f>
        <v>28054382.4337453</v>
      </c>
      <c r="I87" s="1" t="n">
        <f aca="false">H87*$I$30</f>
        <v>2244350.59469963</v>
      </c>
      <c r="J87" s="1" t="n">
        <f aca="false">I87*$J$32</f>
        <v>448870.118939925</v>
      </c>
      <c r="K87" s="0" t="n">
        <f aca="false">K86*(1+$L$31)</f>
        <v>706674.219397516</v>
      </c>
      <c r="M87" s="1" t="n">
        <f aca="false">M86*(1+$L$31)</f>
        <v>706674.219397516</v>
      </c>
      <c r="O87" s="0" t="n">
        <f aca="false">O86+1</f>
        <v>87</v>
      </c>
      <c r="P87" s="0" t="n">
        <v>2056</v>
      </c>
      <c r="Q87" s="1" t="n">
        <f aca="false">Q86+R86-S86-T86</f>
        <v>141214665.385874</v>
      </c>
      <c r="R87" s="1" t="n">
        <f aca="false">Q87*$R$30+$R$26</f>
        <v>11091099.9039405</v>
      </c>
      <c r="S87" s="1" t="n">
        <f aca="false">R87*$S$30</f>
        <v>2772774.97598513</v>
      </c>
      <c r="T87" s="0" t="n">
        <f aca="false">M87</f>
        <v>706674.219397516</v>
      </c>
    </row>
    <row r="88" customFormat="false" ht="15" hidden="false" customHeight="false" outlineLevel="0" collapsed="false">
      <c r="F88" s="0" t="n">
        <f aca="false">F87+1</f>
        <v>88</v>
      </c>
      <c r="G88" s="0" t="n">
        <v>2057</v>
      </c>
      <c r="H88" s="1" t="n">
        <f aca="false">H87+I87-J87-K87</f>
        <v>29143188.6901075</v>
      </c>
      <c r="I88" s="1" t="n">
        <f aca="false">H88*$I$30</f>
        <v>2331455.0952086</v>
      </c>
      <c r="J88" s="1" t="n">
        <f aca="false">I88*$J$32</f>
        <v>466291.019041721</v>
      </c>
      <c r="K88" s="0" t="n">
        <f aca="false">K87*(1+$L$31)</f>
        <v>734941.188173417</v>
      </c>
      <c r="M88" s="1" t="n">
        <f aca="false">M87*(1+$L$31)</f>
        <v>734941.188173417</v>
      </c>
      <c r="O88" s="0" t="n">
        <f aca="false">O87+1</f>
        <v>88</v>
      </c>
      <c r="P88" s="0" t="n">
        <v>2057</v>
      </c>
      <c r="Q88" s="1" t="n">
        <f aca="false">Q87+R87-S87-T87</f>
        <v>148826316.094431</v>
      </c>
      <c r="R88" s="1" t="n">
        <f aca="false">Q88*$R$30+$R$26</f>
        <v>11661973.7070824</v>
      </c>
      <c r="S88" s="1" t="n">
        <f aca="false">R88*$S$30</f>
        <v>2915493.42677059</v>
      </c>
      <c r="T88" s="0" t="n">
        <f aca="false">M88</f>
        <v>734941.188173417</v>
      </c>
    </row>
    <row r="89" customFormat="false" ht="15" hidden="false" customHeight="false" outlineLevel="0" collapsed="false">
      <c r="F89" s="0" t="n">
        <f aca="false">F88+1</f>
        <v>89</v>
      </c>
      <c r="G89" s="0" t="n">
        <v>2058</v>
      </c>
      <c r="H89" s="1" t="n">
        <f aca="false">H88+I88-J88-K88</f>
        <v>30273411.578101</v>
      </c>
      <c r="I89" s="1" t="n">
        <f aca="false">H89*$I$30</f>
        <v>2421872.92624808</v>
      </c>
      <c r="J89" s="1" t="n">
        <f aca="false">I89*$J$32</f>
        <v>484374.585249616</v>
      </c>
      <c r="K89" s="0" t="n">
        <f aca="false">K88*(1+$L$31)</f>
        <v>764338.835700354</v>
      </c>
      <c r="M89" s="1" t="n">
        <f aca="false">M88*(1+$L$31)</f>
        <v>764338.835700354</v>
      </c>
      <c r="O89" s="0" t="n">
        <f aca="false">O88+1</f>
        <v>89</v>
      </c>
      <c r="P89" s="0" t="n">
        <v>2058</v>
      </c>
      <c r="Q89" s="1" t="n">
        <f aca="false">Q88+R88-S88-T88</f>
        <v>156837855.18657</v>
      </c>
      <c r="R89" s="1" t="n">
        <f aca="false">Q89*$R$30+$R$26</f>
        <v>12262839.1389927</v>
      </c>
      <c r="S89" s="1" t="n">
        <f aca="false">R89*$S$30</f>
        <v>3065709.78474818</v>
      </c>
      <c r="T89" s="0" t="n">
        <f aca="false">M89</f>
        <v>764338.835700354</v>
      </c>
    </row>
    <row r="90" customFormat="false" ht="15" hidden="false" customHeight="false" outlineLevel="0" collapsed="false">
      <c r="F90" s="0" t="n">
        <f aca="false">F89+1</f>
        <v>90</v>
      </c>
      <c r="G90" s="0" t="n">
        <v>2059</v>
      </c>
      <c r="H90" s="1" t="n">
        <f aca="false">H89+I89-J89-K89</f>
        <v>31446571.0833991</v>
      </c>
      <c r="I90" s="1" t="n">
        <f aca="false">H90*$I$30</f>
        <v>2515725.68667193</v>
      </c>
      <c r="J90" s="1" t="n">
        <f aca="false">I90*$J$32</f>
        <v>503145.137334386</v>
      </c>
      <c r="K90" s="0" t="n">
        <f aca="false">K89*(1+$L$31)</f>
        <v>794912.389128368</v>
      </c>
      <c r="M90" s="1" t="n">
        <f aca="false">M89*(1+$L$31)</f>
        <v>794912.389128368</v>
      </c>
      <c r="O90" s="0" t="n">
        <f aca="false">O89+1</f>
        <v>90</v>
      </c>
      <c r="P90" s="0" t="n">
        <v>2059</v>
      </c>
      <c r="Q90" s="1" t="n">
        <f aca="false">Q89+R89-S89-T89</f>
        <v>165270645.705114</v>
      </c>
      <c r="R90" s="1" t="n">
        <f aca="false">Q90*$R$30+$R$26</f>
        <v>12895298.4278835</v>
      </c>
      <c r="S90" s="1" t="n">
        <f aca="false">R90*$S$30</f>
        <v>3223824.60697089</v>
      </c>
      <c r="T90" s="0" t="n">
        <f aca="false">M90</f>
        <v>794912.389128368</v>
      </c>
    </row>
    <row r="91" customFormat="false" ht="15" hidden="false" customHeight="false" outlineLevel="0" collapsed="false">
      <c r="F91" s="0" t="n">
        <f aca="false">F90+1</f>
        <v>91</v>
      </c>
      <c r="G91" s="0" t="n">
        <v>2060</v>
      </c>
      <c r="H91" s="1" t="n">
        <f aca="false">H90+I90-J90-K90</f>
        <v>32664239.2436083</v>
      </c>
      <c r="I91" s="1" t="n">
        <f aca="false">H91*$I$30</f>
        <v>2613139.13948866</v>
      </c>
      <c r="J91" s="1" t="n">
        <f aca="false">I91*$J$32</f>
        <v>522627.827897732</v>
      </c>
      <c r="K91" s="0" t="n">
        <f aca="false">K90*(1+$L$31)</f>
        <v>826708.884693502</v>
      </c>
      <c r="M91" s="1" t="n">
        <f aca="false">M90*(1+$L$31)</f>
        <v>826708.884693502</v>
      </c>
      <c r="O91" s="0" t="n">
        <f aca="false">O90+1</f>
        <v>91</v>
      </c>
      <c r="P91" s="0" t="n">
        <v>2060</v>
      </c>
      <c r="Q91" s="1" t="n">
        <f aca="false">Q90+R90-S90-T90</f>
        <v>174147207.136898</v>
      </c>
      <c r="R91" s="1" t="n">
        <f aca="false">Q91*$R$30+$R$26</f>
        <v>13561040.5352674</v>
      </c>
      <c r="S91" s="1" t="n">
        <f aca="false">R91*$S$30</f>
        <v>3390260.13381684</v>
      </c>
      <c r="T91" s="0" t="n">
        <f aca="false">M91</f>
        <v>826708.884693502</v>
      </c>
    </row>
    <row r="92" customFormat="false" ht="15" hidden="false" customHeight="false" outlineLevel="0" collapsed="false">
      <c r="F92" s="0" t="n">
        <f aca="false">F91+1</f>
        <v>92</v>
      </c>
      <c r="G92" s="0" t="n">
        <v>2061</v>
      </c>
      <c r="H92" s="1" t="n">
        <f aca="false">H91+I91-J91-K91</f>
        <v>33928041.6705057</v>
      </c>
      <c r="I92" s="1" t="n">
        <f aca="false">H92*$I$30</f>
        <v>2714243.33364046</v>
      </c>
      <c r="J92" s="1" t="n">
        <f aca="false">I92*$J$32</f>
        <v>542848.666728091</v>
      </c>
      <c r="K92" s="0" t="n">
        <f aca="false">K91*(1+$L$31)</f>
        <v>859777.240081243</v>
      </c>
      <c r="M92" s="1" t="n">
        <f aca="false">M91*(1+$L$31)</f>
        <v>859777.240081243</v>
      </c>
      <c r="O92" s="0" t="n">
        <f aca="false">O91+1</f>
        <v>92</v>
      </c>
      <c r="P92" s="0" t="n">
        <v>2061</v>
      </c>
      <c r="Q92" s="1" t="n">
        <f aca="false">Q91+R91-S91-T91</f>
        <v>183491278.653655</v>
      </c>
      <c r="R92" s="1" t="n">
        <f aca="false">Q92*$R$30+$R$26</f>
        <v>14261845.8990241</v>
      </c>
      <c r="S92" s="1" t="n">
        <f aca="false">R92*$S$30</f>
        <v>3565461.47475604</v>
      </c>
      <c r="T92" s="0" t="n">
        <f aca="false">M92</f>
        <v>859777.240081243</v>
      </c>
    </row>
    <row r="93" customFormat="false" ht="15" hidden="false" customHeight="false" outlineLevel="0" collapsed="false">
      <c r="F93" s="0" t="n">
        <f aca="false">F92+1</f>
        <v>93</v>
      </c>
      <c r="G93" s="0" t="n">
        <v>2062</v>
      </c>
      <c r="H93" s="1" t="n">
        <f aca="false">H92+I92-J92-K92</f>
        <v>35239659.0973368</v>
      </c>
      <c r="I93" s="1" t="n">
        <f aca="false">H93*$I$30</f>
        <v>2819172.72778695</v>
      </c>
      <c r="J93" s="1" t="n">
        <f aca="false">I93*$J$32</f>
        <v>563834.545557389</v>
      </c>
      <c r="K93" s="0" t="n">
        <f aca="false">K92*(1+$L$31)</f>
        <v>894168.329684492</v>
      </c>
      <c r="M93" s="1" t="n">
        <f aca="false">M92*(1+$L$31)</f>
        <v>894168.329684492</v>
      </c>
      <c r="O93" s="0" t="n">
        <f aca="false">O92+1</f>
        <v>93</v>
      </c>
      <c r="P93" s="0" t="n">
        <v>2062</v>
      </c>
      <c r="Q93" s="1" t="n">
        <f aca="false">Q92+R92-S92-T92</f>
        <v>193327885.837842</v>
      </c>
      <c r="R93" s="1" t="n">
        <f aca="false">Q93*$R$30+$R$26</f>
        <v>14999591.4378382</v>
      </c>
      <c r="S93" s="1" t="n">
        <f aca="false">R93*$S$30</f>
        <v>3749897.85945954</v>
      </c>
      <c r="T93" s="0" t="n">
        <f aca="false">M93</f>
        <v>894168.329684492</v>
      </c>
    </row>
    <row r="94" customFormat="false" ht="15" hidden="false" customHeight="false" outlineLevel="0" collapsed="false">
      <c r="F94" s="0" t="n">
        <f aca="false">F93+1</f>
        <v>94</v>
      </c>
      <c r="G94" s="0" t="n">
        <v>2063</v>
      </c>
      <c r="H94" s="1" t="n">
        <f aca="false">H93+I93-J93-K93</f>
        <v>36600828.9498819</v>
      </c>
      <c r="I94" s="1" t="n">
        <f aca="false">H94*$I$30</f>
        <v>2928066.31599055</v>
      </c>
      <c r="J94" s="1" t="n">
        <f aca="false">I94*$J$32</f>
        <v>585613.26319811</v>
      </c>
      <c r="K94" s="0" t="n">
        <f aca="false">K93*(1+$L$31)</f>
        <v>929935.062871872</v>
      </c>
      <c r="M94" s="1" t="n">
        <f aca="false">M93*(1+$L$31)</f>
        <v>929935.062871872</v>
      </c>
      <c r="O94" s="0" t="n">
        <f aca="false">O93+1</f>
        <v>94</v>
      </c>
      <c r="P94" s="0" t="n">
        <v>2063</v>
      </c>
      <c r="Q94" s="1" t="n">
        <f aca="false">Q93+R93-S93-T93</f>
        <v>203683411.086536</v>
      </c>
      <c r="R94" s="1" t="n">
        <f aca="false">Q94*$R$30+$R$26</f>
        <v>15776255.8314902</v>
      </c>
      <c r="S94" s="1" t="n">
        <f aca="false">R94*$S$30</f>
        <v>3944063.95787256</v>
      </c>
      <c r="T94" s="0" t="n">
        <f aca="false">M94</f>
        <v>929935.062871872</v>
      </c>
    </row>
    <row r="95" customFormat="false" ht="15" hidden="false" customHeight="false" outlineLevel="0" collapsed="false">
      <c r="F95" s="0" t="n">
        <f aca="false">F94+1</f>
        <v>95</v>
      </c>
      <c r="G95" s="0" t="n">
        <v>2064</v>
      </c>
      <c r="H95" s="1" t="n">
        <f aca="false">H94+I94-J94-K94</f>
        <v>38013346.9398025</v>
      </c>
      <c r="I95" s="1" t="n">
        <f aca="false">H95*$I$30</f>
        <v>3041067.7551842</v>
      </c>
      <c r="J95" s="1" t="n">
        <f aca="false">I95*$J$32</f>
        <v>608213.551036839</v>
      </c>
      <c r="K95" s="0" t="n">
        <f aca="false">K94*(1+$L$31)</f>
        <v>967132.465386747</v>
      </c>
      <c r="M95" s="1" t="n">
        <f aca="false">M94*(1+$L$31)</f>
        <v>967132.465386747</v>
      </c>
      <c r="O95" s="0" t="n">
        <f aca="false">O94+1</f>
        <v>95</v>
      </c>
      <c r="P95" s="0" t="n">
        <v>2064</v>
      </c>
      <c r="Q95" s="1" t="n">
        <f aca="false">Q94+R94-S94-T94</f>
        <v>214585667.897282</v>
      </c>
      <c r="R95" s="1" t="n">
        <f aca="false">Q95*$R$30+$R$26</f>
        <v>16593925.0922962</v>
      </c>
      <c r="S95" s="1" t="n">
        <f aca="false">R95*$S$30</f>
        <v>4148481.27307404</v>
      </c>
      <c r="T95" s="0" t="n">
        <f aca="false">M95</f>
        <v>967132.465386747</v>
      </c>
    </row>
    <row r="96" customFormat="false" ht="15" hidden="false" customHeight="false" outlineLevel="0" collapsed="false">
      <c r="F96" s="0" t="n">
        <f aca="false">F95+1</f>
        <v>96</v>
      </c>
      <c r="G96" s="0" t="n">
        <v>2065</v>
      </c>
      <c r="H96" s="1" t="n">
        <f aca="false">H95+I95-J95-K95</f>
        <v>39479068.6785631</v>
      </c>
      <c r="I96" s="1" t="n">
        <f aca="false">H96*$I$30</f>
        <v>3158325.49428504</v>
      </c>
      <c r="J96" s="1" t="n">
        <f aca="false">I96*$J$32</f>
        <v>631665.098857009</v>
      </c>
      <c r="K96" s="0" t="n">
        <f aca="false">K95*(1+$L$31)</f>
        <v>1005817.76400222</v>
      </c>
      <c r="M96" s="1" t="n">
        <f aca="false">M95*(1+$L$31)</f>
        <v>1005817.76400222</v>
      </c>
      <c r="O96" s="0" t="n">
        <f aca="false">O95+1</f>
        <v>96</v>
      </c>
      <c r="P96" s="0" t="n">
        <v>2065</v>
      </c>
      <c r="Q96" s="1" t="n">
        <f aca="false">Q95+R95-S95-T95</f>
        <v>226063979.251117</v>
      </c>
      <c r="R96" s="1" t="n">
        <f aca="false">Q96*$R$30+$R$26</f>
        <v>17454798.4438338</v>
      </c>
      <c r="S96" s="1" t="n">
        <f aca="false">R96*$S$30</f>
        <v>4363699.61095845</v>
      </c>
      <c r="T96" s="0" t="n">
        <f aca="false">M96</f>
        <v>1005817.76400222</v>
      </c>
    </row>
    <row r="97" customFormat="false" ht="15" hidden="false" customHeight="false" outlineLevel="0" collapsed="false">
      <c r="F97" s="0" t="n">
        <f aca="false">F96+1</f>
        <v>97</v>
      </c>
      <c r="G97" s="0" t="n">
        <v>2066</v>
      </c>
      <c r="H97" s="1" t="n">
        <f aca="false">H96+I96-J96-K96</f>
        <v>40999911.3099889</v>
      </c>
      <c r="I97" s="1" t="n">
        <f aca="false">H97*$I$30</f>
        <v>3279992.90479911</v>
      </c>
      <c r="J97" s="1" t="n">
        <f aca="false">I97*$J$32</f>
        <v>655998.580959822</v>
      </c>
      <c r="K97" s="0" t="n">
        <f aca="false">K96*(1+$L$31)</f>
        <v>1046050.47456231</v>
      </c>
      <c r="M97" s="1" t="n">
        <f aca="false">M96*(1+$L$31)</f>
        <v>1046050.47456231</v>
      </c>
      <c r="O97" s="0" t="n">
        <f aca="false">O96+1</f>
        <v>97</v>
      </c>
      <c r="P97" s="0" t="n">
        <v>2066</v>
      </c>
      <c r="Q97" s="1" t="n">
        <f aca="false">Q96+R96-S96-T96</f>
        <v>238149260.319991</v>
      </c>
      <c r="R97" s="1" t="n">
        <f aca="false">Q97*$R$30+$R$26</f>
        <v>18361194.5239993</v>
      </c>
      <c r="S97" s="1" t="n">
        <f aca="false">R97*$S$30</f>
        <v>4590298.63099982</v>
      </c>
      <c r="T97" s="0" t="n">
        <f aca="false">M97</f>
        <v>1046050.47456231</v>
      </c>
    </row>
    <row r="98" customFormat="false" ht="15" hidden="false" customHeight="false" outlineLevel="0" collapsed="false">
      <c r="F98" s="0" t="n">
        <f aca="false">F97+1</f>
        <v>98</v>
      </c>
      <c r="G98" s="0" t="n">
        <v>2067</v>
      </c>
      <c r="H98" s="1" t="n">
        <f aca="false">H97+I97-J97-K97</f>
        <v>42577855.1592659</v>
      </c>
      <c r="I98" s="1" t="n">
        <f aca="false">H98*$I$30</f>
        <v>3406228.41274127</v>
      </c>
      <c r="J98" s="1" t="n">
        <f aca="false">I98*$J$32</f>
        <v>681245.682548254</v>
      </c>
      <c r="K98" s="0" t="n">
        <f aca="false">K97*(1+$L$31)</f>
        <v>1087892.4935448</v>
      </c>
      <c r="M98" s="1" t="n">
        <f aca="false">M97*(1+$L$31)</f>
        <v>1087892.4935448</v>
      </c>
      <c r="O98" s="0" t="n">
        <f aca="false">O97+1</f>
        <v>98</v>
      </c>
      <c r="P98" s="0" t="n">
        <v>2067</v>
      </c>
      <c r="Q98" s="1" t="n">
        <f aca="false">Q97+R97-S97-T97</f>
        <v>250874105.738428</v>
      </c>
      <c r="R98" s="1" t="n">
        <f aca="false">Q98*$R$30+$R$26</f>
        <v>19315557.9303821</v>
      </c>
      <c r="S98" s="1" t="n">
        <f aca="false">R98*$S$30</f>
        <v>4828889.48259552</v>
      </c>
      <c r="T98" s="0" t="n">
        <f aca="false">M98</f>
        <v>1087892.4935448</v>
      </c>
    </row>
    <row r="99" customFormat="false" ht="15" hidden="false" customHeight="false" outlineLevel="0" collapsed="false">
      <c r="F99" s="0" t="n">
        <f aca="false">F98+1</f>
        <v>99</v>
      </c>
      <c r="G99" s="0" t="n">
        <v>2068</v>
      </c>
      <c r="H99" s="1" t="n">
        <f aca="false">H98+I98-J98-K98</f>
        <v>44214945.3959141</v>
      </c>
      <c r="I99" s="1" t="n">
        <f aca="false">H99*$I$30</f>
        <v>3537195.63167313</v>
      </c>
      <c r="J99" s="1" t="n">
        <f aca="false">I99*$J$32</f>
        <v>707439.126334625</v>
      </c>
      <c r="K99" s="0" t="n">
        <f aca="false">K98*(1+$L$31)</f>
        <v>1131408.19328659</v>
      </c>
      <c r="M99" s="1" t="n">
        <f aca="false">M98*(1+$L$31)</f>
        <v>1131408.19328659</v>
      </c>
      <c r="O99" s="0" t="n">
        <f aca="false">O98+1</f>
        <v>99</v>
      </c>
      <c r="P99" s="0" t="n">
        <v>2068</v>
      </c>
      <c r="Q99" s="1" t="n">
        <f aca="false">Q98+R98-S98-T98</f>
        <v>264272881.69267</v>
      </c>
      <c r="R99" s="1" t="n">
        <f aca="false">Q99*$R$30+$R$26</f>
        <v>20320466.1269502</v>
      </c>
      <c r="S99" s="1" t="n">
        <f aca="false">R99*$S$30</f>
        <v>5080116.53173755</v>
      </c>
      <c r="T99" s="0" t="n">
        <f aca="false">M99</f>
        <v>1131408.19328659</v>
      </c>
    </row>
    <row r="100" customFormat="false" ht="15" hidden="false" customHeight="false" outlineLevel="0" collapsed="false">
      <c r="F100" s="0" t="n">
        <f aca="false">F99+1</f>
        <v>100</v>
      </c>
      <c r="G100" s="0" t="n">
        <v>2069</v>
      </c>
      <c r="H100" s="1" t="n">
        <f aca="false">H99+I99-J99-K99</f>
        <v>45913293.707966</v>
      </c>
      <c r="I100" s="1" t="n">
        <f aca="false">H100*$I$30</f>
        <v>3673063.49663728</v>
      </c>
      <c r="J100" s="1" t="n">
        <f aca="false">I100*$J$32</f>
        <v>734612.699327456</v>
      </c>
      <c r="K100" s="0" t="n">
        <f aca="false">K99*(1+$L$31)</f>
        <v>1176664.52101805</v>
      </c>
      <c r="M100" s="1" t="n">
        <f aca="false">M99*(1+$L$31)</f>
        <v>1176664.52101805</v>
      </c>
      <c r="O100" s="0" t="n">
        <f aca="false">O99+1</f>
        <v>100</v>
      </c>
      <c r="P100" s="0" t="n">
        <v>2069</v>
      </c>
      <c r="Q100" s="1" t="n">
        <f aca="false">Q99+R99-S99-T99</f>
        <v>278381823.094596</v>
      </c>
      <c r="R100" s="1" t="n">
        <f aca="false">Q100*$R$30+$R$26</f>
        <v>21378636.7320947</v>
      </c>
      <c r="S100" s="1" t="n">
        <f aca="false">R100*$S$30</f>
        <v>5344659.18302367</v>
      </c>
      <c r="T100" s="0" t="n">
        <f aca="false">M100</f>
        <v>1176664.52101805</v>
      </c>
    </row>
    <row r="101" customFormat="false" ht="15" hidden="false" customHeight="false" outlineLevel="0" collapsed="false">
      <c r="F101" s="0" t="n">
        <f aca="false">F100+1</f>
        <v>101</v>
      </c>
      <c r="G101" s="0" t="n">
        <v>2070</v>
      </c>
      <c r="H101" s="1" t="n">
        <f aca="false">H100+I100-J100-K100</f>
        <v>47675079.9842578</v>
      </c>
      <c r="I101" s="1" t="n">
        <f aca="false">H101*$I$30</f>
        <v>3814006.39874062</v>
      </c>
      <c r="J101" s="1" t="n">
        <f aca="false">I101*$J$32</f>
        <v>762801.279748124</v>
      </c>
      <c r="K101" s="0" t="n">
        <f aca="false">K100*(1+$L$31)</f>
        <v>1223731.10185878</v>
      </c>
      <c r="M101" s="1" t="n">
        <f aca="false">M100*(1+$L$31)</f>
        <v>1223731.10185878</v>
      </c>
      <c r="O101" s="0" t="n">
        <f aca="false">O100+1</f>
        <v>101</v>
      </c>
      <c r="P101" s="0" t="n">
        <v>2070</v>
      </c>
      <c r="Q101" s="1" t="n">
        <f aca="false">Q100+R100-S100-T100</f>
        <v>293239136.122649</v>
      </c>
      <c r="R101" s="1" t="n">
        <f aca="false">Q101*$R$30+$R$26</f>
        <v>22492935.2091986</v>
      </c>
      <c r="S101" s="1" t="n">
        <f aca="false">R101*$S$30</f>
        <v>5623233.80229966</v>
      </c>
      <c r="T101" s="0" t="n">
        <f aca="false">M101</f>
        <v>1223731.10185878</v>
      </c>
    </row>
    <row r="102" customFormat="false" ht="15" hidden="false" customHeight="false" outlineLevel="0" collapsed="false">
      <c r="F102" s="0" t="n">
        <f aca="false">F101+1</f>
        <v>102</v>
      </c>
      <c r="G102" s="0" t="n">
        <v>2071</v>
      </c>
      <c r="H102" s="1" t="n">
        <f aca="false">H101+I101-J101-K101</f>
        <v>49502554.0013915</v>
      </c>
      <c r="I102" s="1" t="n">
        <f aca="false">H102*$I$30</f>
        <v>3960204.32011132</v>
      </c>
      <c r="J102" s="1" t="n">
        <f aca="false">I102*$J$32</f>
        <v>792040.864022264</v>
      </c>
      <c r="K102" s="0" t="n">
        <f aca="false">K101*(1+$L$31)</f>
        <v>1272680.34593313</v>
      </c>
      <c r="M102" s="1" t="n">
        <f aca="false">M101*(1+$L$31)</f>
        <v>1272680.34593313</v>
      </c>
      <c r="O102" s="0" t="n">
        <f aca="false">O101+1</f>
        <v>102</v>
      </c>
      <c r="P102" s="0" t="n">
        <v>2071</v>
      </c>
      <c r="Q102" s="1" t="n">
        <f aca="false">Q101+R101-S101-T101</f>
        <v>308885106.427689</v>
      </c>
      <c r="R102" s="1" t="n">
        <f aca="false">Q102*$R$30+$R$26</f>
        <v>23666382.9820767</v>
      </c>
      <c r="S102" s="1" t="n">
        <f aca="false">R102*$S$30</f>
        <v>5916595.74551916</v>
      </c>
      <c r="T102" s="0" t="n">
        <f aca="false">M102</f>
        <v>1272680.34593313</v>
      </c>
    </row>
    <row r="103" customFormat="false" ht="15" hidden="false" customHeight="false" outlineLevel="0" collapsed="false">
      <c r="O103" s="1"/>
      <c r="P103" s="1"/>
      <c r="Q103" s="1"/>
    </row>
    <row r="104" customFormat="false" ht="15" hidden="false" customHeight="false" outlineLevel="0" collapsed="false">
      <c r="O104" s="1"/>
      <c r="P104" s="1"/>
      <c r="Q104" s="1"/>
    </row>
    <row r="105" customFormat="false" ht="15" hidden="false" customHeight="false" outlineLevel="0" collapsed="false">
      <c r="O105" s="1"/>
      <c r="P105" s="1"/>
      <c r="Q105" s="1"/>
    </row>
    <row r="106" customFormat="false" ht="15" hidden="false" customHeight="false" outlineLevel="0" collapsed="false">
      <c r="O106" s="1"/>
      <c r="P106" s="1"/>
      <c r="Q106" s="1"/>
    </row>
    <row r="107" customFormat="false" ht="15" hidden="false" customHeight="false" outlineLevel="0" collapsed="false">
      <c r="O107" s="1"/>
      <c r="P107" s="1"/>
      <c r="Q107" s="1"/>
    </row>
    <row r="108" customFormat="false" ht="15" hidden="false" customHeight="false" outlineLevel="0" collapsed="false">
      <c r="O108" s="1"/>
      <c r="P108" s="1"/>
      <c r="Q108" s="1"/>
    </row>
    <row r="109" customFormat="false" ht="15" hidden="false" customHeight="false" outlineLevel="0" collapsed="false">
      <c r="O109" s="1"/>
      <c r="P109" s="1"/>
      <c r="Q109" s="1"/>
    </row>
    <row r="110" customFormat="false" ht="15" hidden="false" customHeight="false" outlineLevel="0" collapsed="false">
      <c r="O110" s="1"/>
      <c r="P110" s="1"/>
      <c r="Q11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19"/>
  <sheetViews>
    <sheetView showFormulas="false" showGridLines="true" showRowColHeaders="true" showZeros="true" rightToLeft="false" tabSelected="true" showOutlineSymbols="true" defaultGridColor="false" view="normal" topLeftCell="A125" colorId="22" zoomScale="87" zoomScaleNormal="87" zoomScalePageLayoutView="100" workbookViewId="0">
      <selection pane="topLeft" activeCell="B135" activeCellId="0" sqref="B135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7.88"/>
    <col collapsed="false" customWidth="true" hidden="false" outlineLevel="0" max="2" min="2" style="0" width="14.77"/>
    <col collapsed="false" customWidth="true" hidden="false" outlineLevel="0" max="3" min="3" style="0" width="11.44"/>
    <col collapsed="false" customWidth="true" hidden="false" outlineLevel="0" max="4" min="4" style="0" width="11.21"/>
    <col collapsed="false" customWidth="true" hidden="false" outlineLevel="0" max="5" min="5" style="0" width="13.88"/>
    <col collapsed="false" customWidth="true" hidden="false" outlineLevel="0" max="6" min="6" style="0" width="11.55"/>
    <col collapsed="false" customWidth="true" hidden="false" outlineLevel="0" max="7" min="7" style="0" width="14.77"/>
    <col collapsed="false" customWidth="true" hidden="false" outlineLevel="0" max="11" min="11" style="0" width="17.66"/>
    <col collapsed="false" customWidth="true" hidden="false" outlineLevel="0" max="12" min="12" style="0" width="12.32"/>
    <col collapsed="false" customWidth="true" hidden="false" outlineLevel="0" max="13" min="13" style="0" width="13.88"/>
    <col collapsed="false" customWidth="true" hidden="false" outlineLevel="0" max="14" min="14" style="0" width="12.88"/>
    <col collapsed="false" customWidth="true" hidden="false" outlineLevel="0" max="15" min="15" style="0" width="10.88"/>
    <col collapsed="false" customWidth="true" hidden="false" outlineLevel="0" max="16" min="16" style="0" width="13.88"/>
    <col collapsed="false" customWidth="true" hidden="false" outlineLevel="0" max="17" min="17" style="0" width="12.88"/>
  </cols>
  <sheetData>
    <row r="1" customFormat="false" ht="15" hidden="false" customHeight="false" outlineLevel="0" collapsed="false">
      <c r="A1" s="0" t="s">
        <v>113</v>
      </c>
      <c r="B1" s="12" t="s">
        <v>114</v>
      </c>
      <c r="C1" s="0" t="n">
        <v>132</v>
      </c>
      <c r="D1" s="13" t="n">
        <f aca="false">K140</f>
        <v>6792165.433</v>
      </c>
      <c r="E1" s="14" t="n">
        <v>36600</v>
      </c>
      <c r="F1" s="15"/>
      <c r="G1" s="0" t="s">
        <v>115</v>
      </c>
      <c r="K1" s="0" t="s">
        <v>116</v>
      </c>
      <c r="L1" s="0" t="s">
        <v>117</v>
      </c>
      <c r="M1" s="0" t="s">
        <v>118</v>
      </c>
      <c r="N1" s="16"/>
      <c r="O1" s="16"/>
      <c r="R1" s="16"/>
      <c r="S1" s="16"/>
      <c r="U1" s="16"/>
      <c r="V1" s="16"/>
    </row>
    <row r="2" customFormat="false" ht="15" hidden="false" customHeight="false" outlineLevel="0" collapsed="false">
      <c r="D2" s="17" t="n">
        <f aca="false">L140</f>
        <v>7147044.5002</v>
      </c>
      <c r="F2" s="18"/>
      <c r="K2" s="0" t="str">
        <f aca="false">B35</f>
        <v>Short Jan 02 $90 calls</v>
      </c>
      <c r="L2" s="0" t="n">
        <f aca="false">I35</f>
        <v>163200</v>
      </c>
      <c r="M2" s="0" t="n">
        <f aca="false">IF(-30000*(C1/2-90)&gt;C35*D35,C35*D35*-0.6,-30000*(C1/2-90)*0.6)</f>
        <v>163200</v>
      </c>
    </row>
    <row r="3" customFormat="false" ht="15.75" hidden="false" customHeight="false" outlineLevel="0" collapsed="false">
      <c r="B3" s="19" t="s">
        <v>119</v>
      </c>
      <c r="C3" s="12"/>
      <c r="D3" s="20" t="n">
        <f aca="false">M140</f>
        <v>7724187.8602</v>
      </c>
      <c r="E3" s="12"/>
      <c r="F3" s="15"/>
      <c r="H3" s="21" t="s">
        <v>120</v>
      </c>
      <c r="I3" s="22" t="s">
        <v>121</v>
      </c>
      <c r="J3" s="23" t="s">
        <v>122</v>
      </c>
      <c r="P3" s="8"/>
      <c r="X3" s="0" t="n">
        <f aca="false">U3*80</f>
        <v>0</v>
      </c>
    </row>
    <row r="4" customFormat="false" ht="15" hidden="false" customHeight="false" outlineLevel="0" collapsed="false">
      <c r="A4" s="0" t="s">
        <v>123</v>
      </c>
      <c r="B4" s="12" t="s">
        <v>124</v>
      </c>
      <c r="C4" s="12"/>
      <c r="D4" s="12"/>
      <c r="E4" s="12" t="n">
        <v>15000</v>
      </c>
      <c r="F4" s="15"/>
      <c r="P4" s="8"/>
    </row>
    <row r="5" customFormat="false" ht="15" hidden="false" customHeight="false" outlineLevel="0" collapsed="false">
      <c r="B5" s="12" t="s">
        <v>125</v>
      </c>
      <c r="C5" s="12"/>
      <c r="D5" s="12"/>
      <c r="E5" s="24"/>
      <c r="F5" s="15"/>
      <c r="L5" s="0" t="s">
        <v>126</v>
      </c>
      <c r="N5" s="25"/>
      <c r="P5" s="25"/>
      <c r="S5" s="25"/>
      <c r="V5" s="25"/>
    </row>
    <row r="6" customFormat="false" ht="15" hidden="false" customHeight="false" outlineLevel="0" collapsed="false">
      <c r="B6" s="12" t="s">
        <v>127</v>
      </c>
      <c r="C6" s="12"/>
      <c r="D6" s="12"/>
      <c r="E6" s="12"/>
      <c r="F6" s="15" t="n">
        <f aca="false">SUM(E4:E5)</f>
        <v>15000</v>
      </c>
      <c r="G6" s="22" t="n">
        <f aca="false">F6</f>
        <v>15000</v>
      </c>
      <c r="I6" s="0" t="n">
        <f aca="false">G6</f>
        <v>15000</v>
      </c>
      <c r="M6" s="0" t="n">
        <v>100</v>
      </c>
      <c r="P6" s="26"/>
    </row>
    <row r="7" customFormat="false" ht="15" hidden="false" customHeight="false" outlineLevel="0" collapsed="false">
      <c r="F7" s="18"/>
      <c r="M7" s="0" t="n">
        <v>110</v>
      </c>
      <c r="P7" s="26"/>
    </row>
    <row r="8" customFormat="false" ht="15" hidden="false" customHeight="false" outlineLevel="0" collapsed="false">
      <c r="A8" s="0" t="s">
        <v>128</v>
      </c>
      <c r="B8" s="12" t="s">
        <v>129</v>
      </c>
      <c r="C8" s="12"/>
      <c r="D8" s="12"/>
      <c r="E8" s="12"/>
      <c r="F8" s="15" t="n">
        <v>2883</v>
      </c>
      <c r="G8" s="22" t="n">
        <f aca="false">F8</f>
        <v>2883</v>
      </c>
      <c r="I8" s="0" t="n">
        <f aca="false">G8</f>
        <v>2883</v>
      </c>
      <c r="M8" s="0" t="n">
        <v>120</v>
      </c>
      <c r="P8" s="26"/>
    </row>
    <row r="9" customFormat="false" ht="15" hidden="false" customHeight="false" outlineLevel="0" collapsed="false">
      <c r="F9" s="18"/>
      <c r="M9" s="0" t="n">
        <v>130</v>
      </c>
      <c r="N9" s="27"/>
      <c r="P9" s="26"/>
    </row>
    <row r="10" customFormat="false" ht="15" hidden="false" customHeight="false" outlineLevel="0" collapsed="false">
      <c r="B10" s="12" t="s">
        <v>130</v>
      </c>
      <c r="C10" s="12"/>
      <c r="D10" s="12"/>
      <c r="E10" s="12"/>
      <c r="F10" s="15" t="n">
        <v>240000</v>
      </c>
      <c r="M10" s="0" t="n">
        <v>140</v>
      </c>
      <c r="P10" s="26"/>
    </row>
    <row r="11" customFormat="false" ht="15.75" hidden="false" customHeight="false" outlineLevel="0" collapsed="false">
      <c r="B11" s="12" t="s">
        <v>131</v>
      </c>
      <c r="C11" s="12"/>
      <c r="D11" s="12"/>
      <c r="E11" s="12"/>
      <c r="F11" s="15" t="n">
        <f aca="false">950*$C$1/2</f>
        <v>62700</v>
      </c>
      <c r="M11" s="0" t="n">
        <v>150</v>
      </c>
      <c r="P11" s="26"/>
      <c r="X11" s="28"/>
      <c r="Y11" s="28"/>
    </row>
    <row r="12" customFormat="false" ht="15" hidden="false" customHeight="false" outlineLevel="0" collapsed="false">
      <c r="B12" s="12" t="s">
        <v>132</v>
      </c>
      <c r="C12" s="12"/>
      <c r="D12" s="12"/>
      <c r="E12" s="12"/>
      <c r="F12" s="15" t="n">
        <v>28416</v>
      </c>
      <c r="M12" s="0" t="n">
        <v>160</v>
      </c>
      <c r="P12" s="26"/>
      <c r="X12" s="12"/>
      <c r="Y12" s="12"/>
    </row>
    <row r="13" customFormat="false" ht="15" hidden="false" customHeight="false" outlineLevel="0" collapsed="false">
      <c r="B13" s="12"/>
      <c r="C13" s="12"/>
      <c r="D13" s="12"/>
      <c r="E13" s="12"/>
      <c r="F13" s="15"/>
      <c r="M13" s="0" t="n">
        <v>170</v>
      </c>
      <c r="P13" s="26"/>
      <c r="X13" s="12"/>
      <c r="Y13" s="12"/>
    </row>
    <row r="14" customFormat="false" ht="15" hidden="false" customHeight="false" outlineLevel="0" collapsed="false">
      <c r="B14" s="12" t="s">
        <v>133</v>
      </c>
      <c r="C14" s="12"/>
      <c r="D14" s="12"/>
      <c r="E14" s="12"/>
      <c r="F14" s="15" t="n">
        <f aca="false">SUM(F10:F13)</f>
        <v>331116</v>
      </c>
      <c r="G14" s="21" t="n">
        <f aca="false">F14</f>
        <v>331116</v>
      </c>
      <c r="H14" s="0" t="n">
        <f aca="false">G14</f>
        <v>331116</v>
      </c>
      <c r="M14" s="0" t="n">
        <v>180</v>
      </c>
      <c r="P14" s="26"/>
      <c r="X14" s="12"/>
      <c r="Y14" s="12"/>
    </row>
    <row r="15" customFormat="false" ht="15" hidden="false" customHeight="false" outlineLevel="0" collapsed="false">
      <c r="B15" s="12"/>
      <c r="C15" s="12"/>
      <c r="D15" s="12"/>
      <c r="E15" s="12"/>
      <c r="F15" s="15"/>
      <c r="M15" s="0" t="n">
        <v>190</v>
      </c>
      <c r="P15" s="26"/>
    </row>
    <row r="16" customFormat="false" ht="15" hidden="false" customHeight="false" outlineLevel="0" collapsed="false">
      <c r="B16" s="12"/>
      <c r="C16" s="12"/>
      <c r="D16" s="12"/>
      <c r="E16" s="12"/>
      <c r="F16" s="15"/>
      <c r="M16" s="0" t="n">
        <v>200</v>
      </c>
      <c r="P16" s="26"/>
    </row>
    <row r="17" customFormat="false" ht="15" hidden="false" customHeight="false" outlineLevel="0" collapsed="false">
      <c r="B17" s="12"/>
      <c r="C17" s="12"/>
      <c r="D17" s="12"/>
      <c r="E17" s="12"/>
      <c r="F17" s="15"/>
      <c r="M17" s="0" t="n">
        <v>210</v>
      </c>
    </row>
    <row r="18" customFormat="false" ht="15" hidden="false" customHeight="false" outlineLevel="0" collapsed="false">
      <c r="M18" s="0" t="n">
        <v>220</v>
      </c>
    </row>
    <row r="19" customFormat="false" ht="15" hidden="false" customHeight="false" outlineLevel="0" collapsed="false">
      <c r="F19" s="18"/>
      <c r="L19" s="0" t="n">
        <f aca="false">SUM($M$135:$O$135)</f>
        <v>910800</v>
      </c>
      <c r="M19" s="0" t="n">
        <v>230</v>
      </c>
    </row>
    <row r="20" customFormat="false" ht="15" hidden="false" customHeight="false" outlineLevel="0" collapsed="false">
      <c r="B20" s="12"/>
      <c r="C20" s="12"/>
      <c r="D20" s="12" t="s">
        <v>134</v>
      </c>
      <c r="E20" s="12" t="s">
        <v>135</v>
      </c>
      <c r="F20" s="15"/>
      <c r="L20" s="0" t="n">
        <f aca="false">SUM($M$135:$O$135)</f>
        <v>910800</v>
      </c>
      <c r="M20" s="0" t="n">
        <v>240</v>
      </c>
    </row>
    <row r="21" customFormat="false" ht="15" hidden="false" customHeight="false" outlineLevel="0" collapsed="false">
      <c r="A21" s="0" t="s">
        <v>136</v>
      </c>
      <c r="B21" s="12" t="s">
        <v>137</v>
      </c>
      <c r="C21" s="12" t="n">
        <v>1680</v>
      </c>
      <c r="D21" s="12" t="n">
        <v>30.5</v>
      </c>
      <c r="E21" s="12" t="n">
        <v>162.125</v>
      </c>
      <c r="F21" s="15" t="n">
        <f aca="false">C21*(E21-D21)</f>
        <v>221130</v>
      </c>
      <c r="G21" s="22" t="n">
        <f aca="false">F21*0.6</f>
        <v>132678</v>
      </c>
      <c r="I21" s="0" t="n">
        <f aca="false">G21</f>
        <v>132678</v>
      </c>
    </row>
    <row r="22" customFormat="false" ht="15" hidden="false" customHeight="false" outlineLevel="0" collapsed="false">
      <c r="A22" s="0" t="s">
        <v>138</v>
      </c>
      <c r="B22" s="12" t="s">
        <v>137</v>
      </c>
      <c r="C22" s="12" t="n">
        <v>4105</v>
      </c>
      <c r="D22" s="12" t="n">
        <v>36.75</v>
      </c>
      <c r="E22" s="12" t="n">
        <f aca="false">(75.5+82.5+86.5+87)/4*2</f>
        <v>165.75</v>
      </c>
      <c r="F22" s="15" t="n">
        <f aca="false">C22*(E22-D22)</f>
        <v>529545</v>
      </c>
      <c r="G22" s="22" t="n">
        <f aca="false">F22*0.6</f>
        <v>317727</v>
      </c>
      <c r="I22" s="0" t="n">
        <f aca="false">G22</f>
        <v>317727</v>
      </c>
    </row>
    <row r="23" customFormat="false" ht="15" hidden="false" customHeight="false" outlineLevel="0" collapsed="false">
      <c r="A23" s="0" t="s">
        <v>139</v>
      </c>
      <c r="B23" s="12" t="s">
        <v>137</v>
      </c>
      <c r="C23" s="12" t="n">
        <v>4000</v>
      </c>
      <c r="D23" s="12" t="n">
        <v>44.5</v>
      </c>
      <c r="E23" s="12" t="n">
        <f aca="false">(80+81.25)/2*2</f>
        <v>161.25</v>
      </c>
      <c r="F23" s="15" t="n">
        <f aca="false">C23*(E23-D23)</f>
        <v>467000</v>
      </c>
      <c r="G23" s="22" t="n">
        <f aca="false">F23*0.6</f>
        <v>280200</v>
      </c>
      <c r="I23" s="0" t="n">
        <f aca="false">G23</f>
        <v>280200</v>
      </c>
    </row>
    <row r="24" customFormat="false" ht="15" hidden="false" customHeight="false" outlineLevel="0" collapsed="false">
      <c r="B24" s="12" t="s">
        <v>137</v>
      </c>
      <c r="C24" s="12" t="n">
        <v>4375</v>
      </c>
      <c r="D24" s="12" t="n">
        <v>44.5</v>
      </c>
      <c r="E24" s="12" t="n">
        <f aca="false">(79.0625+80.9375)/2*2</f>
        <v>160</v>
      </c>
      <c r="F24" s="15" t="n">
        <f aca="false">C24*(E24-D24)</f>
        <v>505312.5</v>
      </c>
      <c r="G24" s="22" t="n">
        <f aca="false">F24*0.6</f>
        <v>303187.5</v>
      </c>
      <c r="I24" s="0" t="n">
        <f aca="false">G24</f>
        <v>303187.5</v>
      </c>
    </row>
    <row r="25" customFormat="false" ht="15" hidden="false" customHeight="false" outlineLevel="0" collapsed="false">
      <c r="B25" s="12" t="s">
        <v>137</v>
      </c>
      <c r="C25" s="0" t="n">
        <f aca="false">1752/2</f>
        <v>876</v>
      </c>
      <c r="D25" s="0" t="n">
        <v>36.75</v>
      </c>
      <c r="E25" s="0" t="n">
        <f aca="false">73*2</f>
        <v>146</v>
      </c>
      <c r="F25" s="15" t="n">
        <f aca="false">C25*(E25-D25)</f>
        <v>95703</v>
      </c>
      <c r="G25" s="22" t="n">
        <f aca="false">F25*0.6</f>
        <v>57421.8</v>
      </c>
      <c r="I25" s="0" t="n">
        <f aca="false">G25</f>
        <v>57421.8</v>
      </c>
    </row>
    <row r="26" customFormat="false" ht="15" hidden="false" customHeight="false" outlineLevel="0" collapsed="false">
      <c r="A26" s="0" t="s">
        <v>140</v>
      </c>
      <c r="B26" s="12" t="s">
        <v>137</v>
      </c>
      <c r="C26" s="0" t="n">
        <v>1000</v>
      </c>
      <c r="D26" s="0" t="n">
        <v>36.75</v>
      </c>
      <c r="E26" s="0" t="n">
        <v>150</v>
      </c>
      <c r="F26" s="15" t="n">
        <f aca="false">C26*(E26-D26)</f>
        <v>113250</v>
      </c>
      <c r="G26" s="22" t="n">
        <f aca="false">F26*0.6</f>
        <v>67950</v>
      </c>
      <c r="I26" s="0" t="n">
        <f aca="false">G26</f>
        <v>67950</v>
      </c>
    </row>
    <row r="27" customFormat="false" ht="15" hidden="false" customHeight="false" outlineLevel="0" collapsed="false">
      <c r="A27" s="0" t="s">
        <v>140</v>
      </c>
      <c r="B27" s="12" t="s">
        <v>137</v>
      </c>
      <c r="C27" s="0" t="n">
        <v>1000</v>
      </c>
      <c r="D27" s="0" t="n">
        <v>36.75</v>
      </c>
      <c r="E27" s="0" t="n">
        <v>154</v>
      </c>
      <c r="F27" s="15" t="n">
        <f aca="false">C27*(E27-D27)</f>
        <v>117250</v>
      </c>
      <c r="G27" s="22" t="n">
        <f aca="false">F27*0.6</f>
        <v>70350</v>
      </c>
      <c r="I27" s="0" t="n">
        <f aca="false">G27</f>
        <v>70350</v>
      </c>
    </row>
    <row r="28" customFormat="false" ht="15" hidden="false" customHeight="false" outlineLevel="0" collapsed="false">
      <c r="A28" s="0" t="s">
        <v>140</v>
      </c>
      <c r="B28" s="12" t="s">
        <v>137</v>
      </c>
      <c r="C28" s="0" t="n">
        <v>1000</v>
      </c>
      <c r="D28" s="0" t="n">
        <v>36.75</v>
      </c>
      <c r="E28" s="0" t="n">
        <v>153</v>
      </c>
      <c r="F28" s="15" t="n">
        <f aca="false">C28*(E28-D28)</f>
        <v>116250</v>
      </c>
      <c r="G28" s="22" t="n">
        <f aca="false">F28*0.6</f>
        <v>69750</v>
      </c>
      <c r="I28" s="0" t="n">
        <f aca="false">G28</f>
        <v>69750</v>
      </c>
    </row>
    <row r="29" customFormat="false" ht="15" hidden="false" customHeight="false" outlineLevel="0" collapsed="false">
      <c r="A29" s="8" t="s">
        <v>141</v>
      </c>
      <c r="B29" s="12" t="s">
        <v>137</v>
      </c>
      <c r="C29" s="0" t="n">
        <v>3000</v>
      </c>
      <c r="D29" s="0" t="n">
        <v>36.75</v>
      </c>
      <c r="E29" s="0" t="n">
        <f aca="false">75.6875*2</f>
        <v>151.375</v>
      </c>
      <c r="F29" s="15" t="n">
        <f aca="false">C29*(E29-D29)</f>
        <v>343875</v>
      </c>
      <c r="G29" s="22" t="n">
        <f aca="false">F29*0.6</f>
        <v>206325</v>
      </c>
      <c r="I29" s="0" t="n">
        <f aca="false">G29</f>
        <v>206325</v>
      </c>
    </row>
    <row r="30" customFormat="false" ht="15" hidden="false" customHeight="false" outlineLevel="0" collapsed="false">
      <c r="A30" s="8" t="s">
        <v>141</v>
      </c>
      <c r="B30" s="12" t="s">
        <v>137</v>
      </c>
      <c r="C30" s="0" t="n">
        <v>1600</v>
      </c>
      <c r="D30" s="0" t="n">
        <v>40.125</v>
      </c>
      <c r="E30" s="0" t="n">
        <v>154.25</v>
      </c>
      <c r="F30" s="15" t="n">
        <f aca="false">C30*(E30-D30)</f>
        <v>182600</v>
      </c>
      <c r="G30" s="22" t="n">
        <f aca="false">F30*0.6</f>
        <v>109560</v>
      </c>
      <c r="I30" s="0" t="n">
        <f aca="false">G30</f>
        <v>109560</v>
      </c>
    </row>
    <row r="31" customFormat="false" ht="15" hidden="false" customHeight="false" outlineLevel="0" collapsed="false">
      <c r="A31" s="0" t="s">
        <v>142</v>
      </c>
      <c r="B31" s="12" t="s">
        <v>137</v>
      </c>
      <c r="C31" s="0" t="n">
        <v>2578</v>
      </c>
      <c r="D31" s="29" t="n">
        <v>55.5</v>
      </c>
      <c r="E31" s="0" t="n">
        <f aca="false">79.8125</f>
        <v>79.8125</v>
      </c>
      <c r="F31" s="15" t="n">
        <f aca="false">C31*(E31-D31)</f>
        <v>62677.625</v>
      </c>
      <c r="G31" s="22" t="n">
        <f aca="false">F31*0.6</f>
        <v>37606.575</v>
      </c>
      <c r="I31" s="0" t="n">
        <f aca="false">G31</f>
        <v>37606.575</v>
      </c>
    </row>
    <row r="32" customFormat="false" ht="15" hidden="false" customHeight="false" outlineLevel="0" collapsed="false">
      <c r="A32" s="0" t="s">
        <v>143</v>
      </c>
      <c r="B32" s="12" t="s">
        <v>137</v>
      </c>
      <c r="C32" s="12" t="n">
        <v>2292</v>
      </c>
      <c r="D32" s="12" t="n">
        <v>36.75</v>
      </c>
      <c r="E32" s="12" t="n">
        <f aca="false">76.875*2</f>
        <v>153.75</v>
      </c>
      <c r="F32" s="15" t="n">
        <f aca="false">C32*(E32-D32)</f>
        <v>268164</v>
      </c>
      <c r="G32" s="22" t="n">
        <f aca="false">F32*0.6</f>
        <v>160898.4</v>
      </c>
      <c r="I32" s="0" t="n">
        <f aca="false">G32</f>
        <v>160898.4</v>
      </c>
    </row>
    <row r="33" customFormat="false" ht="15" hidden="false" customHeight="false" outlineLevel="0" collapsed="false">
      <c r="A33" s="0" t="s">
        <v>143</v>
      </c>
      <c r="B33" s="12" t="s">
        <v>137</v>
      </c>
      <c r="C33" s="27" t="n">
        <v>1600</v>
      </c>
      <c r="D33" s="0" t="n">
        <f aca="false">40.125/2</f>
        <v>20.0625</v>
      </c>
      <c r="E33" s="12" t="n">
        <f aca="false">76.875</f>
        <v>76.875</v>
      </c>
      <c r="F33" s="15" t="n">
        <f aca="false">C33*(E33-D33)</f>
        <v>90900</v>
      </c>
      <c r="G33" s="22" t="n">
        <f aca="false">F33*0.6</f>
        <v>54540</v>
      </c>
      <c r="I33" s="0" t="n">
        <f aca="false">G33</f>
        <v>54540</v>
      </c>
    </row>
    <row r="34" customFormat="false" ht="15" hidden="false" customHeight="false" outlineLevel="0" collapsed="false">
      <c r="A34" s="0" t="s">
        <v>143</v>
      </c>
      <c r="B34" s="12" t="s">
        <v>137</v>
      </c>
      <c r="C34" s="27" t="n">
        <f aca="false">0.4*7808*2</f>
        <v>6246.4</v>
      </c>
      <c r="D34" s="30" t="n">
        <v>31.47</v>
      </c>
      <c r="E34" s="30" t="n">
        <f aca="false">76.9375</f>
        <v>76.9375</v>
      </c>
      <c r="F34" s="15" t="n">
        <f aca="false">C34*(E34-D34)</f>
        <v>284008.192</v>
      </c>
      <c r="G34" s="22" t="n">
        <f aca="false">F34*0.6</f>
        <v>170404.9152</v>
      </c>
      <c r="I34" s="0" t="n">
        <f aca="false">G34</f>
        <v>170404.9152</v>
      </c>
    </row>
    <row r="35" customFormat="false" ht="15" hidden="false" customHeight="false" outlineLevel="0" collapsed="false">
      <c r="A35" s="0" t="s">
        <v>143</v>
      </c>
      <c r="B35" s="12" t="s">
        <v>144</v>
      </c>
      <c r="C35" s="27" t="n">
        <v>-30000</v>
      </c>
      <c r="D35" s="30" t="n">
        <f aca="false">(10.25*2+6.7)/3</f>
        <v>9.06666666666667</v>
      </c>
      <c r="E35" s="30" t="n">
        <v>0</v>
      </c>
      <c r="F35" s="15" t="n">
        <f aca="false">C35*(E35-D35)</f>
        <v>272000</v>
      </c>
      <c r="G35" s="22" t="n">
        <f aca="false">F35*0.6</f>
        <v>163200</v>
      </c>
      <c r="I35" s="0" t="n">
        <f aca="false">G35</f>
        <v>163200</v>
      </c>
    </row>
    <row r="36" customFormat="false" ht="15" hidden="false" customHeight="false" outlineLevel="0" collapsed="false">
      <c r="A36" s="0" t="s">
        <v>145</v>
      </c>
      <c r="B36" s="12" t="s">
        <v>146</v>
      </c>
      <c r="C36" s="27" t="n">
        <v>-9000</v>
      </c>
      <c r="D36" s="30" t="n">
        <f aca="false">(79.75+76.5*2+73.7+69.5*5)/9</f>
        <v>72.6611111111111</v>
      </c>
      <c r="E36" s="30" t="n">
        <f aca="false">C1/2</f>
        <v>66</v>
      </c>
      <c r="F36" s="15" t="n">
        <f aca="false">C36*(E36-D36)</f>
        <v>59950</v>
      </c>
      <c r="G36" s="22" t="n">
        <f aca="false">F36*0.6</f>
        <v>35970</v>
      </c>
      <c r="I36" s="0" t="n">
        <f aca="false">G36</f>
        <v>35970</v>
      </c>
    </row>
    <row r="37" customFormat="false" ht="15" hidden="false" customHeight="false" outlineLevel="0" collapsed="false">
      <c r="A37" s="0" t="s">
        <v>143</v>
      </c>
      <c r="B37" s="12" t="s">
        <v>137</v>
      </c>
      <c r="C37" s="27" t="n">
        <v>2500</v>
      </c>
      <c r="D37" s="0" t="n">
        <v>111</v>
      </c>
      <c r="E37" s="12" t="n">
        <f aca="false">76.75*2</f>
        <v>153.5</v>
      </c>
      <c r="F37" s="15" t="n">
        <f aca="false">C37*(E37-D37)</f>
        <v>106250</v>
      </c>
      <c r="G37" s="22" t="n">
        <f aca="false">F37*0.6</f>
        <v>63750</v>
      </c>
      <c r="I37" s="0" t="n">
        <f aca="false">G37</f>
        <v>63750</v>
      </c>
    </row>
    <row r="38" customFormat="false" ht="15" hidden="false" customHeight="false" outlineLevel="0" collapsed="false">
      <c r="A38" s="0" t="s">
        <v>147</v>
      </c>
      <c r="B38" s="12" t="s">
        <v>148</v>
      </c>
      <c r="C38" s="27" t="n">
        <v>10000</v>
      </c>
      <c r="D38" s="30" t="n">
        <v>69.9</v>
      </c>
      <c r="E38" s="30" t="n">
        <f aca="false">$C$1/2</f>
        <v>66</v>
      </c>
      <c r="F38" s="15" t="n">
        <f aca="false">C38*(E38-D38)</f>
        <v>-39000.0000000001</v>
      </c>
      <c r="G38" s="22" t="n">
        <f aca="false">F38*0.6</f>
        <v>-23400</v>
      </c>
      <c r="I38" s="0" t="n">
        <f aca="false">G38</f>
        <v>-23400</v>
      </c>
    </row>
    <row r="39" customFormat="false" ht="15" hidden="false" customHeight="false" outlineLevel="0" collapsed="false">
      <c r="A39" s="0" t="s">
        <v>149</v>
      </c>
      <c r="B39" s="12" t="s">
        <v>150</v>
      </c>
      <c r="C39" s="27" t="n">
        <v>-5000</v>
      </c>
      <c r="D39" s="30" t="n">
        <v>12.2</v>
      </c>
      <c r="E39" s="30" t="n">
        <f aca="false">IF($C$1/2&lt;60,0,$C$1/2-60)</f>
        <v>6</v>
      </c>
      <c r="F39" s="15" t="n">
        <f aca="false">C39*(E39-D39)</f>
        <v>31000</v>
      </c>
      <c r="G39" s="22" t="n">
        <f aca="false">F39*0.6</f>
        <v>18600</v>
      </c>
      <c r="I39" s="0" t="n">
        <f aca="false">G39</f>
        <v>18600</v>
      </c>
    </row>
    <row r="40" customFormat="false" ht="15" hidden="false" customHeight="false" outlineLevel="0" collapsed="false">
      <c r="B40" s="12"/>
      <c r="C40" s="27"/>
      <c r="D40" s="30"/>
      <c r="E40" s="30"/>
      <c r="F40" s="15"/>
      <c r="G40" s="22"/>
    </row>
    <row r="41" customFormat="false" ht="15" hidden="false" customHeight="false" outlineLevel="0" collapsed="false">
      <c r="B41" s="12"/>
      <c r="F41" s="15"/>
      <c r="G41" s="22"/>
    </row>
    <row r="42" customFormat="false" ht="15" hidden="false" customHeight="false" outlineLevel="0" collapsed="false">
      <c r="B42" s="12"/>
      <c r="C42" s="1" t="n">
        <f aca="false">SUM(I20:I41)</f>
        <v>2296719.1902</v>
      </c>
      <c r="D42" s="0" t="s">
        <v>151</v>
      </c>
      <c r="F42" s="15"/>
      <c r="G42" s="22"/>
    </row>
    <row r="43" customFormat="false" ht="15.75" hidden="false" customHeight="false" outlineLevel="0" collapsed="false">
      <c r="B43" s="19" t="s">
        <v>152</v>
      </c>
      <c r="C43" s="12"/>
      <c r="D43" s="12"/>
      <c r="E43" s="12"/>
      <c r="F43" s="15"/>
    </row>
    <row r="44" customFormat="false" ht="15" hidden="false" customHeight="false" outlineLevel="0" collapsed="false">
      <c r="A44" s="0" t="s">
        <v>128</v>
      </c>
      <c r="B44" s="12" t="n">
        <v>4504795869998</v>
      </c>
      <c r="C44" s="12"/>
      <c r="D44" s="12"/>
      <c r="E44" s="12" t="n">
        <v>16017.91</v>
      </c>
      <c r="F44" s="15"/>
    </row>
    <row r="45" customFormat="false" ht="15" hidden="false" customHeight="false" outlineLevel="0" collapsed="false">
      <c r="B45" s="12"/>
      <c r="C45" s="12"/>
      <c r="D45" s="12"/>
      <c r="E45" s="24"/>
      <c r="F45" s="15"/>
    </row>
    <row r="46" customFormat="false" ht="15" hidden="false" customHeight="false" outlineLevel="0" collapsed="false">
      <c r="B46" s="12"/>
      <c r="C46" s="12"/>
      <c r="D46" s="12"/>
      <c r="E46" s="12"/>
      <c r="F46" s="15" t="n">
        <f aca="false">SUM(E44:E45)</f>
        <v>16017.91</v>
      </c>
      <c r="G46" s="21" t="n">
        <f aca="false">F46</f>
        <v>16017.91</v>
      </c>
      <c r="H46" s="0" t="n">
        <f aca="false">G46</f>
        <v>16017.91</v>
      </c>
    </row>
    <row r="47" customFormat="false" ht="15" hidden="false" customHeight="false" outlineLevel="0" collapsed="false">
      <c r="F47" s="18"/>
    </row>
    <row r="48" customFormat="false" ht="15.75" hidden="false" customHeight="false" outlineLevel="0" collapsed="false">
      <c r="A48" s="0" t="s">
        <v>128</v>
      </c>
      <c r="B48" s="19" t="s">
        <v>153</v>
      </c>
      <c r="C48" s="12"/>
      <c r="D48" s="12"/>
      <c r="E48" s="12"/>
      <c r="F48" s="15"/>
    </row>
    <row r="49" customFormat="false" ht="15" hidden="false" customHeight="false" outlineLevel="0" collapsed="false">
      <c r="B49" s="12"/>
      <c r="C49" s="12"/>
      <c r="D49" s="12"/>
      <c r="E49" s="12"/>
      <c r="F49" s="15"/>
    </row>
    <row r="50" customFormat="false" ht="15" hidden="false" customHeight="false" outlineLevel="0" collapsed="false">
      <c r="B50" s="12"/>
      <c r="C50" s="12"/>
      <c r="D50" s="12"/>
      <c r="E50" s="12"/>
      <c r="F50" s="15"/>
    </row>
    <row r="51" customFormat="false" ht="15" hidden="false" customHeight="false" outlineLevel="0" collapsed="false">
      <c r="B51" s="12" t="s">
        <v>154</v>
      </c>
      <c r="C51" s="12"/>
      <c r="D51" s="12"/>
      <c r="E51" s="12" t="n">
        <v>0</v>
      </c>
      <c r="F51" s="15"/>
    </row>
    <row r="52" customFormat="false" ht="15" hidden="false" customHeight="false" outlineLevel="0" collapsed="false">
      <c r="B52" s="12"/>
      <c r="C52" s="12"/>
      <c r="D52" s="12"/>
      <c r="E52" s="12"/>
      <c r="F52" s="15"/>
    </row>
    <row r="53" customFormat="false" ht="15" hidden="false" customHeight="false" outlineLevel="0" collapsed="false">
      <c r="B53" s="12"/>
      <c r="C53" s="12"/>
      <c r="D53" s="12"/>
      <c r="E53" s="24"/>
      <c r="F53" s="15"/>
    </row>
    <row r="54" customFormat="false" ht="15" hidden="false" customHeight="false" outlineLevel="0" collapsed="false">
      <c r="B54" s="12" t="s">
        <v>155</v>
      </c>
      <c r="C54" s="12"/>
      <c r="D54" s="12"/>
      <c r="E54" s="12"/>
      <c r="F54" s="15" t="n">
        <f aca="false">SUM(E49:E53)</f>
        <v>0</v>
      </c>
      <c r="G54" s="0" t="n">
        <f aca="false">F54</f>
        <v>0</v>
      </c>
    </row>
    <row r="55" customFormat="false" ht="15" hidden="false" customHeight="false" outlineLevel="0" collapsed="false">
      <c r="F55" s="18"/>
    </row>
    <row r="56" customFormat="false" ht="15.75" hidden="false" customHeight="false" outlineLevel="0" collapsed="false">
      <c r="A56" s="0" t="s">
        <v>128</v>
      </c>
      <c r="B56" s="19" t="s">
        <v>156</v>
      </c>
      <c r="C56" s="12"/>
      <c r="D56" s="12"/>
      <c r="E56" s="12"/>
      <c r="F56" s="15"/>
    </row>
    <row r="57" customFormat="false" ht="15.75" hidden="false" customHeight="false" outlineLevel="0" collapsed="false">
      <c r="A57" s="19" t="s">
        <v>157</v>
      </c>
      <c r="B57" s="19"/>
      <c r="C57" s="12"/>
      <c r="D57" s="12"/>
      <c r="E57" s="12" t="n">
        <v>350000</v>
      </c>
      <c r="F57" s="15"/>
    </row>
    <row r="58" customFormat="false" ht="15" hidden="false" customHeight="false" outlineLevel="0" collapsed="false">
      <c r="A58" s="12" t="s">
        <v>114</v>
      </c>
      <c r="B58" s="12" t="n">
        <v>0</v>
      </c>
      <c r="C58" s="12" t="n">
        <v>80</v>
      </c>
      <c r="D58" s="0" t="n">
        <f aca="false">C1/2</f>
        <v>66</v>
      </c>
      <c r="E58" s="12" t="n">
        <f aca="false">B58*(D58-C58)</f>
        <v>-0</v>
      </c>
      <c r="F58" s="15"/>
    </row>
    <row r="59" customFormat="false" ht="15" hidden="false" customHeight="false" outlineLevel="0" collapsed="false">
      <c r="A59" s="12" t="s">
        <v>158</v>
      </c>
      <c r="B59" s="27" t="n">
        <v>-5000</v>
      </c>
      <c r="C59" s="30" t="n">
        <v>24</v>
      </c>
      <c r="D59" s="30" t="n">
        <f aca="false">IF($C$1/2&lt;50,0,$C$1/2-50)</f>
        <v>16</v>
      </c>
      <c r="E59" s="15" t="n">
        <f aca="false">B59*(D59-C59)</f>
        <v>40000</v>
      </c>
    </row>
    <row r="60" customFormat="false" ht="15" hidden="false" customHeight="false" outlineLevel="0" collapsed="false">
      <c r="A60" s="12" t="s">
        <v>159</v>
      </c>
      <c r="B60" s="27" t="n">
        <v>-5000</v>
      </c>
      <c r="C60" s="30" t="n">
        <v>12.4</v>
      </c>
      <c r="D60" s="30" t="n">
        <f aca="false">IF($C$1/2&lt;70,0,$C$1/2-70)</f>
        <v>0</v>
      </c>
      <c r="E60" s="15" t="n">
        <f aca="false">B60*(D60-C60)</f>
        <v>62000</v>
      </c>
      <c r="F60" s="15"/>
    </row>
    <row r="61" customFormat="false" ht="15" hidden="false" customHeight="false" outlineLevel="0" collapsed="false">
      <c r="B61" s="12" t="s">
        <v>160</v>
      </c>
      <c r="C61" s="12"/>
      <c r="D61" s="12"/>
      <c r="E61" s="12"/>
      <c r="F61" s="15" t="n">
        <f aca="false">SUM(E57:E59)</f>
        <v>390000</v>
      </c>
      <c r="G61" s="23" t="n">
        <f aca="false">F61</f>
        <v>390000</v>
      </c>
      <c r="J61" s="0" t="n">
        <f aca="false">G61</f>
        <v>390000</v>
      </c>
    </row>
    <row r="62" customFormat="false" ht="15" hidden="false" customHeight="false" outlineLevel="0" collapsed="false">
      <c r="F62" s="18"/>
    </row>
    <row r="63" customFormat="false" ht="15" hidden="false" customHeight="false" outlineLevel="0" collapsed="false">
      <c r="B63" s="12" t="s">
        <v>161</v>
      </c>
      <c r="C63" s="12"/>
      <c r="D63" s="12"/>
      <c r="E63" s="12"/>
      <c r="F63" s="15"/>
    </row>
    <row r="64" customFormat="false" ht="15" hidden="false" customHeight="false" outlineLevel="0" collapsed="false">
      <c r="A64" s="0" t="s">
        <v>128</v>
      </c>
      <c r="B64" s="12" t="s">
        <v>162</v>
      </c>
      <c r="C64" s="12"/>
      <c r="D64" s="12"/>
      <c r="E64" s="12"/>
      <c r="F64" s="15"/>
    </row>
    <row r="65" customFormat="false" ht="15" hidden="false" customHeight="false" outlineLevel="0" collapsed="false">
      <c r="B65" s="12" t="s">
        <v>163</v>
      </c>
      <c r="C65" s="12"/>
      <c r="D65" s="12" t="n">
        <v>400</v>
      </c>
      <c r="E65" s="24" t="n">
        <f aca="false">D65*D148</f>
        <v>18000</v>
      </c>
      <c r="F65" s="15"/>
    </row>
    <row r="66" customFormat="false" ht="15" hidden="false" customHeight="false" outlineLevel="0" collapsed="false">
      <c r="B66" s="12" t="s">
        <v>164</v>
      </c>
      <c r="C66" s="12"/>
      <c r="D66" s="12" t="n">
        <v>210</v>
      </c>
      <c r="E66" s="24" t="n">
        <f aca="false">D66*D146</f>
        <v>27930</v>
      </c>
      <c r="F66" s="15"/>
    </row>
    <row r="67" customFormat="false" ht="15" hidden="false" customHeight="false" outlineLevel="0" collapsed="false">
      <c r="B67" s="12" t="s">
        <v>165</v>
      </c>
      <c r="C67" s="12"/>
      <c r="D67" s="12"/>
      <c r="E67" s="12" t="n">
        <v>2000</v>
      </c>
      <c r="F67" s="15"/>
    </row>
    <row r="68" customFormat="false" ht="15" hidden="false" customHeight="false" outlineLevel="0" collapsed="false">
      <c r="B68" s="12" t="s">
        <v>166</v>
      </c>
      <c r="C68" s="12"/>
      <c r="D68" s="12"/>
      <c r="E68" s="12"/>
      <c r="F68" s="15"/>
    </row>
    <row r="69" customFormat="false" ht="15" hidden="false" customHeight="false" outlineLevel="0" collapsed="false">
      <c r="A69" s="0" t="s">
        <v>167</v>
      </c>
      <c r="B69" s="12" t="s">
        <v>168</v>
      </c>
      <c r="C69" s="12"/>
      <c r="D69" s="12" t="n">
        <v>284</v>
      </c>
      <c r="E69" s="24" t="n">
        <f aca="false">D69*D147</f>
        <v>18460</v>
      </c>
      <c r="F69" s="15"/>
    </row>
    <row r="70" customFormat="false" ht="15" hidden="false" customHeight="false" outlineLevel="0" collapsed="false">
      <c r="B70" s="12"/>
      <c r="C70" s="12"/>
      <c r="D70" s="12"/>
      <c r="E70" s="12" t="n">
        <v>3000</v>
      </c>
      <c r="F70" s="15" t="n">
        <f aca="false">SUM(E65:E70)</f>
        <v>69390</v>
      </c>
      <c r="G70" s="21" t="n">
        <f aca="false">F70</f>
        <v>69390</v>
      </c>
      <c r="H70" s="0" t="n">
        <f aca="false">G70</f>
        <v>69390</v>
      </c>
    </row>
    <row r="71" customFormat="false" ht="15" hidden="false" customHeight="false" outlineLevel="0" collapsed="false">
      <c r="C71" s="12"/>
      <c r="D71" s="12"/>
      <c r="E71" s="12"/>
      <c r="F71" s="15"/>
    </row>
    <row r="72" customFormat="false" ht="15" hidden="false" customHeight="false" outlineLevel="0" collapsed="false">
      <c r="B72" s="12"/>
      <c r="C72" s="12"/>
      <c r="D72" s="12"/>
      <c r="E72" s="12"/>
      <c r="F72" s="15"/>
    </row>
    <row r="73" customFormat="false" ht="15" hidden="false" customHeight="false" outlineLevel="0" collapsed="false">
      <c r="F73" s="18"/>
    </row>
    <row r="74" customFormat="false" ht="15" hidden="false" customHeight="false" outlineLevel="0" collapsed="false">
      <c r="B74" s="12" t="s">
        <v>169</v>
      </c>
      <c r="C74" s="12"/>
      <c r="D74" s="12"/>
      <c r="E74" s="12"/>
      <c r="F74" s="15"/>
    </row>
    <row r="75" customFormat="false" ht="15" hidden="false" customHeight="false" outlineLevel="0" collapsed="false">
      <c r="A75" s="0" t="s">
        <v>170</v>
      </c>
      <c r="B75" s="12" t="s">
        <v>171</v>
      </c>
      <c r="C75" s="12"/>
      <c r="D75" s="12"/>
      <c r="E75" s="12" t="n">
        <v>36730</v>
      </c>
      <c r="F75" s="15"/>
    </row>
    <row r="76" customFormat="false" ht="15" hidden="false" customHeight="false" outlineLevel="0" collapsed="false">
      <c r="A76" s="0" t="s">
        <v>170</v>
      </c>
      <c r="B76" s="12" t="s">
        <v>172</v>
      </c>
      <c r="C76" s="12"/>
      <c r="D76" s="12"/>
      <c r="E76" s="24" t="n">
        <v>32306</v>
      </c>
      <c r="F76" s="15"/>
    </row>
    <row r="77" customFormat="false" ht="15" hidden="false" customHeight="false" outlineLevel="0" collapsed="false">
      <c r="B77" s="12" t="s">
        <v>173</v>
      </c>
      <c r="C77" s="12"/>
      <c r="D77" s="12"/>
      <c r="E77" s="12"/>
      <c r="F77" s="15" t="n">
        <f aca="false">SUM(E75:E76)</f>
        <v>69036</v>
      </c>
      <c r="G77" s="23" t="n">
        <f aca="false">F77</f>
        <v>69036</v>
      </c>
      <c r="J77" s="0" t="n">
        <f aca="false">G77</f>
        <v>69036</v>
      </c>
    </row>
    <row r="78" customFormat="false" ht="15" hidden="false" customHeight="false" outlineLevel="0" collapsed="false">
      <c r="F78" s="18"/>
    </row>
    <row r="79" customFormat="false" ht="15" hidden="false" customHeight="false" outlineLevel="0" collapsed="false">
      <c r="A79" s="0" t="s">
        <v>128</v>
      </c>
      <c r="B79" s="12" t="s">
        <v>174</v>
      </c>
      <c r="C79" s="12"/>
      <c r="D79" s="12"/>
      <c r="E79" s="12"/>
      <c r="F79" s="15" t="n">
        <v>12068.73</v>
      </c>
      <c r="G79" s="21" t="n">
        <f aca="false">F79</f>
        <v>12068.73</v>
      </c>
      <c r="H79" s="0" t="n">
        <f aca="false">G79</f>
        <v>12068.73</v>
      </c>
    </row>
    <row r="80" customFormat="false" ht="15" hidden="false" customHeight="false" outlineLevel="0" collapsed="false">
      <c r="F80" s="18"/>
    </row>
    <row r="81" customFormat="false" ht="15" hidden="false" customHeight="false" outlineLevel="0" collapsed="false">
      <c r="A81" s="0" t="s">
        <v>128</v>
      </c>
      <c r="B81" s="12" t="s">
        <v>175</v>
      </c>
      <c r="C81" s="12"/>
      <c r="D81" s="12"/>
      <c r="E81" s="12"/>
      <c r="F81" s="15"/>
    </row>
    <row r="82" customFormat="false" ht="15" hidden="false" customHeight="false" outlineLevel="0" collapsed="false">
      <c r="B82" s="12" t="s">
        <v>176</v>
      </c>
      <c r="C82" s="12"/>
      <c r="D82" s="12"/>
      <c r="E82" s="12" t="n">
        <v>13500</v>
      </c>
      <c r="F82" s="15"/>
    </row>
    <row r="83" customFormat="false" ht="15" hidden="false" customHeight="false" outlineLevel="0" collapsed="false">
      <c r="B83" s="12" t="s">
        <v>177</v>
      </c>
      <c r="C83" s="12"/>
      <c r="D83" s="12"/>
      <c r="E83" s="12" t="n">
        <v>11611.05</v>
      </c>
      <c r="F83" s="15"/>
    </row>
    <row r="84" customFormat="false" ht="15" hidden="false" customHeight="false" outlineLevel="0" collapsed="false">
      <c r="B84" s="12" t="s">
        <v>178</v>
      </c>
      <c r="C84" s="12"/>
      <c r="D84" s="12"/>
      <c r="E84" s="24" t="n">
        <v>10362.18</v>
      </c>
      <c r="F84" s="15"/>
    </row>
    <row r="85" customFormat="false" ht="15" hidden="false" customHeight="false" outlineLevel="0" collapsed="false">
      <c r="B85" s="12" t="s">
        <v>179</v>
      </c>
      <c r="C85" s="12"/>
      <c r="D85" s="12"/>
      <c r="E85" s="12"/>
      <c r="F85" s="15" t="n">
        <f aca="false">SUM(E82:E84)</f>
        <v>35473.23</v>
      </c>
      <c r="G85" s="21" t="n">
        <f aca="false">F85</f>
        <v>35473.23</v>
      </c>
      <c r="H85" s="0" t="n">
        <f aca="false">G85</f>
        <v>35473.23</v>
      </c>
    </row>
    <row r="86" customFormat="false" ht="15" hidden="false" customHeight="false" outlineLevel="0" collapsed="false">
      <c r="F86" s="18"/>
    </row>
    <row r="87" customFormat="false" ht="15" hidden="false" customHeight="false" outlineLevel="0" collapsed="false">
      <c r="F87" s="18"/>
    </row>
    <row r="88" customFormat="false" ht="15" hidden="false" customHeight="false" outlineLevel="0" collapsed="false">
      <c r="B88" s="12"/>
      <c r="C88" s="12"/>
      <c r="D88" s="12"/>
      <c r="E88" s="12"/>
      <c r="F88" s="15"/>
    </row>
    <row r="89" customFormat="false" ht="15" hidden="false" customHeight="false" outlineLevel="0" collapsed="false">
      <c r="B89" s="12"/>
      <c r="C89" s="12"/>
      <c r="D89" s="12"/>
      <c r="E89" s="24"/>
      <c r="F89" s="15"/>
    </row>
    <row r="90" customFormat="false" ht="15" hidden="false" customHeight="false" outlineLevel="0" collapsed="false">
      <c r="B90" s="12"/>
      <c r="C90" s="12"/>
      <c r="D90" s="12"/>
      <c r="E90" s="12"/>
      <c r="F90" s="15"/>
    </row>
    <row r="91" customFormat="false" ht="15" hidden="false" customHeight="false" outlineLevel="0" collapsed="false">
      <c r="F91" s="18"/>
    </row>
    <row r="92" customFormat="false" ht="15" hidden="false" customHeight="false" outlineLevel="0" collapsed="false">
      <c r="B92" s="12" t="s">
        <v>180</v>
      </c>
      <c r="C92" s="12"/>
      <c r="D92" s="12"/>
      <c r="E92" s="12"/>
      <c r="F92" s="15"/>
    </row>
    <row r="93" customFormat="false" ht="15" hidden="false" customHeight="false" outlineLevel="0" collapsed="false">
      <c r="B93" s="12" t="s">
        <v>181</v>
      </c>
      <c r="C93" s="12"/>
      <c r="D93" s="12"/>
      <c r="E93" s="12" t="n">
        <v>541.8</v>
      </c>
      <c r="F93" s="15"/>
    </row>
    <row r="94" customFormat="false" ht="15" hidden="false" customHeight="false" outlineLevel="0" collapsed="false">
      <c r="B94" s="12" t="s">
        <v>182</v>
      </c>
      <c r="C94" s="12"/>
      <c r="D94" s="12"/>
      <c r="E94" s="12" t="n">
        <v>653.8</v>
      </c>
      <c r="F94" s="15"/>
    </row>
    <row r="95" customFormat="false" ht="15" hidden="false" customHeight="false" outlineLevel="0" collapsed="false">
      <c r="B95" s="12" t="s">
        <v>183</v>
      </c>
      <c r="C95" s="12"/>
      <c r="D95" s="12"/>
      <c r="E95" s="24" t="n">
        <v>44.08</v>
      </c>
      <c r="F95" s="15"/>
    </row>
    <row r="96" customFormat="false" ht="15" hidden="false" customHeight="false" outlineLevel="0" collapsed="false">
      <c r="B96" s="12" t="s">
        <v>184</v>
      </c>
      <c r="C96" s="12"/>
      <c r="D96" s="12"/>
      <c r="E96" s="12"/>
      <c r="F96" s="15" t="n">
        <f aca="false">SUM(E93:E95)</f>
        <v>1239.68</v>
      </c>
      <c r="G96" s="21" t="n">
        <f aca="false">F96</f>
        <v>1239.68</v>
      </c>
      <c r="H96" s="0" t="n">
        <f aca="false">G96</f>
        <v>1239.68</v>
      </c>
    </row>
    <row r="97" customFormat="false" ht="15" hidden="false" customHeight="false" outlineLevel="0" collapsed="false">
      <c r="F97" s="18"/>
    </row>
    <row r="98" customFormat="false" ht="15" hidden="false" customHeight="false" outlineLevel="0" collapsed="false">
      <c r="B98" s="12" t="s">
        <v>185</v>
      </c>
      <c r="C98" s="12"/>
      <c r="D98" s="12"/>
      <c r="E98" s="12"/>
      <c r="F98" s="15"/>
    </row>
    <row r="99" customFormat="false" ht="15" hidden="false" customHeight="false" outlineLevel="0" collapsed="false">
      <c r="B99" s="12" t="s">
        <v>186</v>
      </c>
      <c r="C99" s="12" t="n">
        <v>4340</v>
      </c>
      <c r="D99" s="30" t="n">
        <v>1</v>
      </c>
      <c r="E99" s="30" t="n">
        <f aca="false">C1</f>
        <v>132</v>
      </c>
      <c r="F99" s="15" t="n">
        <f aca="false">C99*D99*E99</f>
        <v>572880</v>
      </c>
      <c r="G99" s="21" t="n">
        <f aca="false">F99*0.6</f>
        <v>343728</v>
      </c>
      <c r="H99" s="0" t="n">
        <f aca="false">G99</f>
        <v>343728</v>
      </c>
    </row>
    <row r="100" customFormat="false" ht="15" hidden="false" customHeight="false" outlineLevel="0" collapsed="false">
      <c r="B100" s="12" t="s">
        <v>187</v>
      </c>
      <c r="C100" s="12" t="n">
        <v>1738</v>
      </c>
      <c r="D100" s="30" t="n">
        <v>0.6667</v>
      </c>
      <c r="E100" s="30" t="n">
        <f aca="false">C1</f>
        <v>132</v>
      </c>
      <c r="F100" s="15" t="n">
        <f aca="false">C100*D100*E100</f>
        <v>152951.6472</v>
      </c>
      <c r="G100" s="21" t="n">
        <f aca="false">F100*0.6</f>
        <v>91770.98832</v>
      </c>
      <c r="H100" s="0" t="n">
        <f aca="false">G100</f>
        <v>91770.98832</v>
      </c>
    </row>
    <row r="101" customFormat="false" ht="15" hidden="false" customHeight="false" outlineLevel="0" collapsed="false">
      <c r="B101" s="12" t="s">
        <v>188</v>
      </c>
      <c r="C101" s="12" t="n">
        <v>2960</v>
      </c>
      <c r="D101" s="30" t="n">
        <v>0.3333</v>
      </c>
      <c r="E101" s="30" t="n">
        <f aca="false">E100</f>
        <v>132</v>
      </c>
      <c r="F101" s="15" t="n">
        <f aca="false">C101*D101*E101</f>
        <v>130226.976</v>
      </c>
      <c r="G101" s="21" t="n">
        <f aca="false">F101*0.6</f>
        <v>78136.1856</v>
      </c>
      <c r="H101" s="0" t="n">
        <f aca="false">G101</f>
        <v>78136.1856</v>
      </c>
    </row>
    <row r="105" customFormat="false" ht="15" hidden="false" customHeight="false" outlineLevel="0" collapsed="false">
      <c r="C105" s="12"/>
      <c r="F105" s="18"/>
    </row>
    <row r="106" customFormat="false" ht="15" hidden="false" customHeight="false" outlineLevel="0" collapsed="false">
      <c r="B106" s="12"/>
      <c r="C106" s="12"/>
      <c r="D106" s="12"/>
      <c r="E106" s="12"/>
      <c r="F106" s="15"/>
    </row>
    <row r="107" customFormat="false" ht="15" hidden="false" customHeight="false" outlineLevel="0" collapsed="false">
      <c r="F107" s="18"/>
    </row>
    <row r="108" customFormat="false" ht="15" hidden="false" customHeight="false" outlineLevel="0" collapsed="false">
      <c r="F108" s="18"/>
    </row>
    <row r="109" customFormat="false" ht="15" hidden="false" customHeight="false" outlineLevel="0" collapsed="false">
      <c r="A109" s="0" t="s">
        <v>170</v>
      </c>
      <c r="B109" s="0" t="s">
        <v>189</v>
      </c>
      <c r="F109" s="18" t="n">
        <f aca="false">400000+250000</f>
        <v>650000</v>
      </c>
      <c r="G109" s="21" t="n">
        <f aca="false">F109*0.7</f>
        <v>455000</v>
      </c>
      <c r="H109" s="0" t="n">
        <f aca="false">G109</f>
        <v>455000</v>
      </c>
    </row>
    <row r="110" customFormat="false" ht="15" hidden="false" customHeight="false" outlineLevel="0" collapsed="false">
      <c r="A110" s="0" t="s">
        <v>190</v>
      </c>
      <c r="F110" s="18" t="n">
        <v>200000</v>
      </c>
      <c r="G110" s="22" t="n">
        <v>200000</v>
      </c>
      <c r="I110" s="0" t="n">
        <f aca="false">G110</f>
        <v>200000</v>
      </c>
    </row>
    <row r="111" customFormat="false" ht="15" hidden="false" customHeight="false" outlineLevel="0" collapsed="false">
      <c r="F111" s="18"/>
    </row>
    <row r="112" customFormat="false" ht="15" hidden="false" customHeight="false" outlineLevel="0" collapsed="false">
      <c r="F112" s="18"/>
    </row>
    <row r="113" customFormat="false" ht="15" hidden="false" customHeight="false" outlineLevel="0" collapsed="false">
      <c r="F113" s="18"/>
    </row>
    <row r="114" customFormat="false" ht="15" hidden="false" customHeight="false" outlineLevel="0" collapsed="false">
      <c r="B114" s="12" t="s">
        <v>191</v>
      </c>
      <c r="C114" s="12"/>
      <c r="D114" s="12"/>
      <c r="E114" s="12"/>
      <c r="F114" s="31" t="n">
        <f aca="false">SUM(F2:F113)</f>
        <v>6807264.4902</v>
      </c>
      <c r="G114" s="32" t="n">
        <f aca="false">SUM(G2:G113)</f>
        <v>4407578.91412</v>
      </c>
      <c r="H114" s="33" t="n">
        <f aca="false">SUM(H2:H113)</f>
        <v>1433940.72392</v>
      </c>
      <c r="I114" s="34" t="n">
        <f aca="false">SUM(I2:I113)</f>
        <v>2514602.1902</v>
      </c>
      <c r="J114" s="35" t="n">
        <f aca="false">SUM(J2:J113)</f>
        <v>459036</v>
      </c>
    </row>
    <row r="115" customFormat="false" ht="15" hidden="false" customHeight="false" outlineLevel="0" collapsed="false">
      <c r="B115" s="12"/>
      <c r="C115" s="12"/>
      <c r="D115" s="12"/>
      <c r="E115" s="12"/>
      <c r="F115" s="31"/>
      <c r="G115" s="32" t="s">
        <v>192</v>
      </c>
      <c r="H115" s="33" t="n">
        <f aca="false">K137*0.4</f>
        <v>953834.607552</v>
      </c>
      <c r="I115" s="34" t="n">
        <f aca="false">K137*0.6</f>
        <v>1430751.911328</v>
      </c>
      <c r="J115" s="35"/>
    </row>
    <row r="116" customFormat="false" ht="15" hidden="false" customHeight="false" outlineLevel="0" collapsed="false">
      <c r="B116" s="12"/>
      <c r="C116" s="12"/>
      <c r="D116" s="12"/>
      <c r="E116" s="12"/>
      <c r="F116" s="31"/>
      <c r="G116" s="32" t="s">
        <v>193</v>
      </c>
      <c r="H116" s="33"/>
      <c r="I116" s="34" t="n">
        <f aca="false">L137</f>
        <v>354879.0672</v>
      </c>
      <c r="J116" s="35"/>
    </row>
    <row r="117" customFormat="false" ht="15" hidden="false" customHeight="false" outlineLevel="0" collapsed="false">
      <c r="B117" s="12"/>
      <c r="C117" s="12"/>
      <c r="D117" s="12"/>
      <c r="E117" s="12"/>
      <c r="F117" s="31"/>
      <c r="G117" s="32" t="s">
        <v>194</v>
      </c>
      <c r="H117" s="33" t="n">
        <f aca="false">SUM(H114:H116)</f>
        <v>2387775.331472</v>
      </c>
      <c r="I117" s="34" t="n">
        <f aca="false">SUM(I114:I116)</f>
        <v>4300233.168728</v>
      </c>
      <c r="J117" s="35" t="n">
        <f aca="false">SUM(J114:J116)</f>
        <v>459036</v>
      </c>
    </row>
    <row r="118" customFormat="false" ht="15" hidden="false" customHeight="false" outlineLevel="0" collapsed="false">
      <c r="F118" s="18"/>
      <c r="G118" s="0" t="n">
        <f aca="false">G114-H114-I114-J114</f>
        <v>0</v>
      </c>
    </row>
    <row r="119" customFormat="false" ht="15" hidden="false" customHeight="false" outlineLevel="0" collapsed="false">
      <c r="F119" s="18"/>
      <c r="H119" s="36"/>
      <c r="I119" s="36"/>
      <c r="J119" s="36"/>
      <c r="K119" s="37" t="s">
        <v>195</v>
      </c>
      <c r="L119" s="37" t="s">
        <v>196</v>
      </c>
      <c r="M119" s="37" t="s">
        <v>197</v>
      </c>
    </row>
    <row r="120" customFormat="false" ht="15" hidden="false" customHeight="false" outlineLevel="0" collapsed="false">
      <c r="B120" s="12"/>
      <c r="C120" s="12"/>
      <c r="D120" s="12"/>
      <c r="E120" s="12"/>
      <c r="F120" s="15"/>
    </row>
    <row r="121" customFormat="false" ht="15" hidden="false" customHeight="false" outlineLevel="0" collapsed="false">
      <c r="B121" s="12" t="s">
        <v>198</v>
      </c>
      <c r="C121" s="12"/>
      <c r="D121" s="12"/>
      <c r="E121" s="12"/>
      <c r="F121" s="15" t="n">
        <f aca="false">150000*0.2</f>
        <v>30000</v>
      </c>
      <c r="K121" s="0" t="n">
        <v>18000</v>
      </c>
    </row>
    <row r="122" customFormat="false" ht="15" hidden="false" customHeight="false" outlineLevel="0" collapsed="false">
      <c r="B122" s="12" t="s">
        <v>199</v>
      </c>
      <c r="C122" s="12"/>
      <c r="D122" s="12"/>
      <c r="E122" s="12"/>
      <c r="F122" s="15" t="n">
        <v>3500000</v>
      </c>
      <c r="K122" s="0" t="n">
        <f aca="false">F122*0.6</f>
        <v>2100000</v>
      </c>
    </row>
    <row r="123" customFormat="false" ht="15" hidden="false" customHeight="false" outlineLevel="0" collapsed="false">
      <c r="B123" s="12" t="s">
        <v>200</v>
      </c>
      <c r="C123" s="12"/>
      <c r="D123" s="12"/>
      <c r="E123" s="12"/>
      <c r="F123" s="15" t="n">
        <v>40000</v>
      </c>
      <c r="L123" s="0" t="n">
        <f aca="false">F123*0.6</f>
        <v>24000</v>
      </c>
    </row>
    <row r="124" customFormat="false" ht="15" hidden="false" customHeight="false" outlineLevel="0" collapsed="false">
      <c r="B124" s="12" t="s">
        <v>201</v>
      </c>
      <c r="C124" s="12"/>
      <c r="D124" s="12"/>
      <c r="E124" s="12"/>
      <c r="F124" s="15" t="n">
        <v>0</v>
      </c>
      <c r="M124" s="0" t="n">
        <f aca="false">F124*0.6</f>
        <v>0</v>
      </c>
    </row>
    <row r="125" customFormat="false" ht="15" hidden="false" customHeight="false" outlineLevel="0" collapsed="false">
      <c r="B125" s="12"/>
      <c r="C125" s="12"/>
      <c r="D125" s="30"/>
      <c r="E125" s="30"/>
      <c r="F125" s="15"/>
    </row>
    <row r="126" customFormat="false" ht="15" hidden="false" customHeight="false" outlineLevel="0" collapsed="false">
      <c r="A126" s="0" t="s">
        <v>202</v>
      </c>
      <c r="B126" s="12" t="s">
        <v>203</v>
      </c>
      <c r="C126" s="38" t="n">
        <v>11460</v>
      </c>
      <c r="D126" s="30" t="n">
        <v>0.2</v>
      </c>
      <c r="E126" s="30" t="n">
        <f aca="false">C1-36.75</f>
        <v>95.25</v>
      </c>
      <c r="F126" s="15" t="n">
        <f aca="false">C126*D126*E126</f>
        <v>218313</v>
      </c>
      <c r="L126" s="0" t="n">
        <f aca="false">$C$126*0.2*$E$126*0.6</f>
        <v>130987.8</v>
      </c>
    </row>
    <row r="127" customFormat="false" ht="15" hidden="false" customHeight="false" outlineLevel="0" collapsed="false">
      <c r="B127" s="12" t="s">
        <v>204</v>
      </c>
      <c r="C127" s="12" t="n">
        <v>1738</v>
      </c>
      <c r="D127" s="30" t="n">
        <f aca="false">1-D100</f>
        <v>0.3333</v>
      </c>
      <c r="E127" s="30" t="n">
        <f aca="false">C1</f>
        <v>132</v>
      </c>
      <c r="F127" s="15" t="n">
        <f aca="false">C127*D127*E127</f>
        <v>76464.3528</v>
      </c>
      <c r="K127" s="0" t="n">
        <f aca="false">$C$127*$E$127*0.3333*0.6</f>
        <v>45878.61168</v>
      </c>
    </row>
    <row r="128" customFormat="false" ht="15" hidden="false" customHeight="false" outlineLevel="0" collapsed="false">
      <c r="A128" s="0" t="s">
        <v>202</v>
      </c>
      <c r="B128" s="12" t="s">
        <v>205</v>
      </c>
      <c r="C128" s="38" t="n">
        <v>4000</v>
      </c>
      <c r="D128" s="30" t="n">
        <v>0.4</v>
      </c>
      <c r="E128" s="30" t="n">
        <f aca="false">C1-40.125</f>
        <v>91.875</v>
      </c>
      <c r="F128" s="15" t="n">
        <f aca="false">C128*D128*E128</f>
        <v>147000</v>
      </c>
      <c r="L128" s="0" t="n">
        <f aca="false">$C$128*0.2*$E$128*0.6</f>
        <v>44100</v>
      </c>
      <c r="M128" s="0" t="n">
        <f aca="false">$C$128*0.2*$E$128*0.6</f>
        <v>44100</v>
      </c>
    </row>
    <row r="129" customFormat="false" ht="15" hidden="false" customHeight="false" outlineLevel="0" collapsed="false">
      <c r="B129" s="12" t="s">
        <v>206</v>
      </c>
      <c r="C129" s="12" t="n">
        <v>2960</v>
      </c>
      <c r="D129" s="30" t="n">
        <f aca="false">1-D101</f>
        <v>0.6667</v>
      </c>
      <c r="E129" s="30" t="n">
        <f aca="false">E127</f>
        <v>132</v>
      </c>
      <c r="F129" s="15" t="n">
        <f aca="false">C129*D129*E129</f>
        <v>260493.024</v>
      </c>
      <c r="K129" s="0" t="n">
        <f aca="false">$F$129*0.5*0.6</f>
        <v>78147.9072</v>
      </c>
      <c r="L129" s="0" t="n">
        <f aca="false">$F$129*0.5*0.6</f>
        <v>78147.9072</v>
      </c>
    </row>
    <row r="130" customFormat="false" ht="15" hidden="false" customHeight="false" outlineLevel="0" collapsed="false">
      <c r="A130" s="0" t="s">
        <v>202</v>
      </c>
      <c r="B130" s="12" t="s">
        <v>207</v>
      </c>
      <c r="C130" s="38" t="n">
        <v>7808</v>
      </c>
      <c r="D130" s="30" t="n">
        <v>0.6</v>
      </c>
      <c r="E130" s="30" t="n">
        <f aca="false">C1-63</f>
        <v>69</v>
      </c>
      <c r="F130" s="15" t="n">
        <f aca="false">C130*D130*E130</f>
        <v>323251.2</v>
      </c>
      <c r="L130" s="0" t="n">
        <f aca="false">$C$130*0.2*$E$130*0.6</f>
        <v>64650.24</v>
      </c>
      <c r="M130" s="0" t="n">
        <f aca="false">$C$130*0.2*$E$130*0.6</f>
        <v>64650.24</v>
      </c>
      <c r="N130" s="0" t="n">
        <f aca="false">$C$130*0.2*$E$130*0.6</f>
        <v>64650.24</v>
      </c>
    </row>
    <row r="131" customFormat="false" ht="15" hidden="false" customHeight="false" outlineLevel="0" collapsed="false">
      <c r="B131" s="12" t="s">
        <v>208</v>
      </c>
      <c r="C131" s="12" t="n">
        <v>1800</v>
      </c>
      <c r="D131" s="30" t="n">
        <v>1</v>
      </c>
      <c r="E131" s="30" t="n">
        <f aca="false">C1</f>
        <v>132</v>
      </c>
      <c r="F131" s="15" t="n">
        <f aca="false">C131*D131*E131</f>
        <v>237600</v>
      </c>
      <c r="K131" s="0" t="n">
        <f aca="false">F131*0.6</f>
        <v>142560</v>
      </c>
    </row>
    <row r="132" customFormat="false" ht="15.75" hidden="false" customHeight="true" outlineLevel="0" collapsed="false">
      <c r="A132" s="0" t="s">
        <v>202</v>
      </c>
      <c r="B132" s="12" t="s">
        <v>209</v>
      </c>
      <c r="C132" s="13" t="n">
        <v>5156</v>
      </c>
      <c r="D132" s="29" t="n">
        <v>0.5</v>
      </c>
      <c r="E132" s="0" t="n">
        <f aca="false">IF(C1-111&lt;0,0,C1-111)</f>
        <v>21</v>
      </c>
      <c r="F132" s="15" t="n">
        <f aca="false">C132*D132*E132</f>
        <v>54138</v>
      </c>
      <c r="L132" s="0" t="n">
        <f aca="false">$C$132*0.2*$E$132*0.6</f>
        <v>12993.12</v>
      </c>
      <c r="M132" s="0" t="n">
        <f aca="false">$C$132*0.2*$E$132*0.6</f>
        <v>12993.12</v>
      </c>
    </row>
    <row r="133" customFormat="false" ht="15.75" hidden="false" customHeight="true" outlineLevel="0" collapsed="false">
      <c r="A133" s="0" t="s">
        <v>202</v>
      </c>
      <c r="B133" s="12" t="s">
        <v>210</v>
      </c>
      <c r="C133" s="13" t="n">
        <v>7143</v>
      </c>
      <c r="D133" s="0" t="n">
        <v>1</v>
      </c>
      <c r="E133" s="0" t="n">
        <f aca="false">IF(((C1/2)-76)&lt;0,0,(C1/2-76))</f>
        <v>0</v>
      </c>
      <c r="F133" s="15" t="n">
        <f aca="false">C133*D133*E133</f>
        <v>0</v>
      </c>
      <c r="L133" s="0" t="n">
        <f aca="false">$F$133*0.33*0.6</f>
        <v>0</v>
      </c>
      <c r="M133" s="0" t="n">
        <f aca="false">$F$133*0.33*0.6</f>
        <v>0</v>
      </c>
      <c r="N133" s="0" t="n">
        <f aca="false">$F$133*0.33*0.6</f>
        <v>0</v>
      </c>
    </row>
    <row r="134" customFormat="false" ht="15.75" hidden="false" customHeight="true" outlineLevel="0" collapsed="false">
      <c r="B134" s="12" t="s">
        <v>211</v>
      </c>
      <c r="C134" s="13" t="n">
        <f aca="false">1750000/25</f>
        <v>70000</v>
      </c>
      <c r="D134" s="0" t="n">
        <v>1</v>
      </c>
      <c r="E134" s="0" t="n">
        <f aca="false">IF(((C1/2)-75)&lt;0,0,(C1/2-75))</f>
        <v>0</v>
      </c>
      <c r="F134" s="15" t="n">
        <f aca="false">C134*D134*E134</f>
        <v>0</v>
      </c>
      <c r="K134" s="0" t="n">
        <f aca="false">$F$134*0.3*0.6</f>
        <v>0</v>
      </c>
      <c r="L134" s="0" t="n">
        <f aca="false">$F$134*0.15*0.6</f>
        <v>0</v>
      </c>
      <c r="M134" s="0" t="n">
        <f aca="false">$F$134*0.3*0.6</f>
        <v>0</v>
      </c>
      <c r="N134" s="0" t="n">
        <f aca="false">$F$134*0.25*0.6</f>
        <v>0</v>
      </c>
    </row>
    <row r="135" customFormat="false" ht="15.75" hidden="false" customHeight="true" outlineLevel="0" collapsed="false">
      <c r="B135" s="12" t="s">
        <v>212</v>
      </c>
      <c r="C135" s="13" t="n">
        <v>23000</v>
      </c>
      <c r="D135" s="0" t="n">
        <v>1</v>
      </c>
      <c r="E135" s="0" t="n">
        <f aca="false">C1/2</f>
        <v>66</v>
      </c>
      <c r="F135" s="15" t="n">
        <f aca="false">C135*D135*E135</f>
        <v>1518000</v>
      </c>
      <c r="M135" s="0" t="n">
        <f aca="false">$F$135*0.5*0.6</f>
        <v>455400</v>
      </c>
      <c r="N135" s="0" t="n">
        <f aca="false">$F$135*0.25*0.6</f>
        <v>227700</v>
      </c>
      <c r="O135" s="0" t="n">
        <f aca="false">$F$135*0.25*0.6</f>
        <v>227700</v>
      </c>
    </row>
    <row r="136" customFormat="false" ht="15" hidden="false" customHeight="false" outlineLevel="0" collapsed="false">
      <c r="B136" s="12"/>
      <c r="C136" s="12"/>
      <c r="D136" s="30"/>
      <c r="E136" s="30"/>
      <c r="F136" s="15"/>
    </row>
    <row r="137" customFormat="false" ht="15" hidden="false" customHeight="false" outlineLevel="0" collapsed="false">
      <c r="A137" s="0" t="n">
        <f aca="false">2381*3</f>
        <v>7143</v>
      </c>
      <c r="B137" s="12"/>
      <c r="D137" s="12" t="s">
        <v>213</v>
      </c>
      <c r="E137" s="12"/>
      <c r="F137" s="15" t="n">
        <f aca="false">SUM(F120:F131)</f>
        <v>4833121.5768</v>
      </c>
      <c r="G137" s="0" t="n">
        <f aca="false">F137*0.6</f>
        <v>2899872.94608</v>
      </c>
      <c r="H137" s="15" t="n">
        <f aca="false">SUM(H120:H132)</f>
        <v>0</v>
      </c>
      <c r="I137" s="15"/>
      <c r="J137" s="15"/>
      <c r="K137" s="15" t="n">
        <f aca="false">SUM(K120:K136)</f>
        <v>2384586.51888</v>
      </c>
      <c r="L137" s="15" t="n">
        <f aca="false">SUM(L120:L136)</f>
        <v>354879.0672</v>
      </c>
      <c r="M137" s="15" t="n">
        <f aca="false">SUM(M120:M136)</f>
        <v>577143.36</v>
      </c>
      <c r="N137" s="15" t="n">
        <f aca="false">SUM(N120:N136)</f>
        <v>292350.24</v>
      </c>
      <c r="O137" s="15" t="n">
        <f aca="false">SUM(O120:O136)</f>
        <v>227700</v>
      </c>
    </row>
    <row r="138" customFormat="false" ht="15" hidden="false" customHeight="false" outlineLevel="0" collapsed="false">
      <c r="B138" s="12"/>
      <c r="C138" s="12" t="n">
        <f aca="false">C125*D125+C126*D126+C127*D127+C128*D128+C129+C130</f>
        <v>15239.2754</v>
      </c>
      <c r="D138" s="12"/>
      <c r="E138" s="12"/>
      <c r="F138" s="15"/>
    </row>
    <row r="139" customFormat="false" ht="15" hidden="false" customHeight="false" outlineLevel="0" collapsed="false">
      <c r="F139" s="18"/>
    </row>
    <row r="140" customFormat="false" ht="15" hidden="false" customHeight="false" outlineLevel="0" collapsed="false">
      <c r="B140" s="12" t="s">
        <v>214</v>
      </c>
      <c r="C140" s="12"/>
      <c r="D140" s="12"/>
      <c r="E140" s="12"/>
      <c r="F140" s="15" t="n">
        <f aca="false">F114+F137</f>
        <v>11640386.067</v>
      </c>
      <c r="G140" s="15" t="n">
        <f aca="false">G114+G137</f>
        <v>7307451.8602</v>
      </c>
      <c r="H140" s="39" t="n">
        <f aca="false">H137+G114</f>
        <v>4407578.91412</v>
      </c>
      <c r="I140" s="39"/>
      <c r="J140" s="39"/>
      <c r="K140" s="13" t="n">
        <f aca="false">H140+K137</f>
        <v>6792165.433</v>
      </c>
      <c r="L140" s="21" t="n">
        <f aca="false">K140+L137</f>
        <v>7147044.5002</v>
      </c>
      <c r="M140" s="20" t="n">
        <f aca="false">L140+M137</f>
        <v>7724187.8602</v>
      </c>
    </row>
    <row r="141" customFormat="false" ht="15" hidden="false" customHeight="false" outlineLevel="0" collapsed="false">
      <c r="A141" s="0" t="s">
        <v>215</v>
      </c>
      <c r="C141" s="0" t="s">
        <v>216</v>
      </c>
      <c r="F141" s="18"/>
    </row>
    <row r="142" customFormat="false" ht="15" hidden="false" customHeight="false" outlineLevel="0" collapsed="false">
      <c r="F142" s="18"/>
    </row>
    <row r="143" customFormat="false" ht="15" hidden="false" customHeight="false" outlineLevel="0" collapsed="false">
      <c r="F143" s="18"/>
    </row>
    <row r="144" customFormat="false" ht="15" hidden="false" customHeight="false" outlineLevel="0" collapsed="false">
      <c r="F144" s="12"/>
      <c r="G144" s="12"/>
      <c r="Q144" s="36"/>
      <c r="R144" s="36"/>
      <c r="U144" s="36"/>
    </row>
    <row r="145" customFormat="false" ht="15" hidden="false" customHeight="false" outlineLevel="0" collapsed="false">
      <c r="F145" s="12"/>
      <c r="G145" s="12"/>
    </row>
    <row r="146" customFormat="false" ht="15" hidden="false" customHeight="false" outlineLevel="0" collapsed="false">
      <c r="B146" s="0" t="s">
        <v>164</v>
      </c>
      <c r="D146" s="0" t="n">
        <v>133</v>
      </c>
      <c r="F146" s="12"/>
      <c r="G146" s="12"/>
    </row>
    <row r="147" customFormat="false" ht="15" hidden="false" customHeight="false" outlineLevel="0" collapsed="false">
      <c r="B147" s="12" t="s">
        <v>217</v>
      </c>
      <c r="C147" s="12"/>
      <c r="D147" s="12" t="n">
        <v>65</v>
      </c>
      <c r="F147" s="12"/>
      <c r="G147" s="12"/>
      <c r="H147" s="30"/>
      <c r="I147" s="30"/>
      <c r="J147" s="30"/>
    </row>
    <row r="148" customFormat="false" ht="15" hidden="false" customHeight="false" outlineLevel="0" collapsed="false">
      <c r="B148" s="12" t="s">
        <v>218</v>
      </c>
      <c r="C148" s="12"/>
      <c r="D148" s="12" t="n">
        <v>45</v>
      </c>
      <c r="F148" s="12"/>
      <c r="G148" s="12"/>
      <c r="H148" s="12"/>
      <c r="I148" s="12"/>
      <c r="J148" s="12"/>
      <c r="K148" s="12"/>
    </row>
    <row r="149" customFormat="false" ht="15" hidden="false" customHeight="false" outlineLevel="0" collapsed="false">
      <c r="B149" s="12" t="s">
        <v>219</v>
      </c>
      <c r="C149" s="12"/>
      <c r="D149" s="12" t="n">
        <v>54</v>
      </c>
      <c r="F149" s="12"/>
      <c r="G149" s="12"/>
      <c r="H149" s="12"/>
      <c r="I149" s="12"/>
      <c r="J149" s="12"/>
      <c r="K149" s="12"/>
    </row>
    <row r="150" customFormat="false" ht="15" hidden="false" customHeight="false" outlineLevel="0" collapsed="false">
      <c r="B150" s="12" t="s">
        <v>220</v>
      </c>
      <c r="C150" s="12"/>
      <c r="D150" s="12" t="n">
        <v>64</v>
      </c>
      <c r="F150" s="12"/>
      <c r="G150" s="12"/>
      <c r="H150" s="12"/>
      <c r="I150" s="12"/>
      <c r="J150" s="12"/>
      <c r="K150" s="12"/>
      <c r="L150" s="12"/>
    </row>
    <row r="151" customFormat="false" ht="15" hidden="false" customHeight="false" outlineLevel="0" collapsed="false">
      <c r="B151" s="12" t="s">
        <v>221</v>
      </c>
      <c r="C151" s="12"/>
      <c r="D151" s="12" t="n">
        <v>49</v>
      </c>
      <c r="F151" s="12"/>
      <c r="G151" s="12"/>
      <c r="H151" s="12"/>
      <c r="I151" s="12"/>
      <c r="J151" s="12"/>
      <c r="K151" s="12"/>
      <c r="L151" s="12"/>
    </row>
    <row r="152" customFormat="false" ht="15" hidden="false" customHeight="false" outlineLevel="0" collapsed="false">
      <c r="B152" s="12" t="s">
        <v>222</v>
      </c>
      <c r="C152" s="12"/>
      <c r="D152" s="12" t="n">
        <v>22.25</v>
      </c>
      <c r="F152" s="12"/>
      <c r="G152" s="12"/>
      <c r="H152" s="12"/>
      <c r="I152" s="12"/>
      <c r="J152" s="12"/>
    </row>
    <row r="153" customFormat="false" ht="15" hidden="false" customHeight="false" outlineLevel="0" collapsed="false">
      <c r="A153" s="0" t="s">
        <v>223</v>
      </c>
      <c r="B153" s="12" t="s">
        <v>224</v>
      </c>
      <c r="C153" s="12"/>
      <c r="D153" s="12" t="n">
        <v>64</v>
      </c>
      <c r="F153" s="12"/>
      <c r="G153" s="12"/>
      <c r="H153" s="12"/>
      <c r="I153" s="12"/>
      <c r="J153" s="12"/>
    </row>
    <row r="154" customFormat="false" ht="15" hidden="false" customHeight="false" outlineLevel="0" collapsed="false">
      <c r="B154" s="12" t="s">
        <v>225</v>
      </c>
      <c r="C154" s="12"/>
      <c r="D154" s="12" t="n">
        <v>25</v>
      </c>
      <c r="F154" s="12"/>
      <c r="G154" s="12"/>
      <c r="H154" s="12"/>
      <c r="I154" s="12"/>
      <c r="J154" s="12"/>
      <c r="K154" s="12"/>
      <c r="L154" s="12"/>
      <c r="M154" s="12"/>
    </row>
    <row r="155" customFormat="false" ht="15" hidden="false" customHeight="false" outlineLevel="0" collapsed="false">
      <c r="B155" s="12" t="s">
        <v>226</v>
      </c>
      <c r="C155" s="12"/>
      <c r="D155" s="12" t="n">
        <v>57</v>
      </c>
    </row>
    <row r="156" customFormat="false" ht="15" hidden="false" customHeight="false" outlineLevel="0" collapsed="false">
      <c r="B156" s="12" t="s">
        <v>227</v>
      </c>
      <c r="C156" s="12"/>
      <c r="D156" s="12" t="n">
        <v>91</v>
      </c>
    </row>
    <row r="157" customFormat="false" ht="15" hidden="false" customHeight="false" outlineLevel="0" collapsed="false">
      <c r="B157" s="12" t="s">
        <v>228</v>
      </c>
      <c r="C157" s="12"/>
      <c r="D157" s="12" t="n">
        <v>57</v>
      </c>
      <c r="J157" s="0" t="n">
        <v>61</v>
      </c>
      <c r="K157" s="0" t="n">
        <v>1216</v>
      </c>
      <c r="L157" s="0" t="n">
        <f aca="false">K157*J157</f>
        <v>74176</v>
      </c>
    </row>
    <row r="158" customFormat="false" ht="15" hidden="false" customHeight="false" outlineLevel="0" collapsed="false">
      <c r="B158" s="12"/>
      <c r="C158" s="12"/>
      <c r="D158" s="12"/>
      <c r="J158" s="0" t="n">
        <v>72</v>
      </c>
      <c r="K158" s="0" t="n">
        <v>1019</v>
      </c>
      <c r="L158" s="0" t="n">
        <f aca="false">K158*J158</f>
        <v>73368</v>
      </c>
    </row>
    <row r="159" customFormat="false" ht="15" hidden="false" customHeight="false" outlineLevel="0" collapsed="false">
      <c r="B159" s="12"/>
      <c r="C159" s="12"/>
      <c r="D159" s="12"/>
      <c r="L159" s="0" t="n">
        <f aca="false">SUM(L157:L158)</f>
        <v>147544</v>
      </c>
      <c r="M159" s="0" t="n">
        <v>44</v>
      </c>
    </row>
    <row r="160" customFormat="false" ht="15" hidden="false" customHeight="false" outlineLevel="0" collapsed="false">
      <c r="B160" s="12"/>
      <c r="C160" s="12"/>
      <c r="D160" s="12"/>
    </row>
    <row r="161" customFormat="false" ht="15" hidden="false" customHeight="false" outlineLevel="0" collapsed="false">
      <c r="B161" s="12"/>
      <c r="C161" s="12"/>
      <c r="D161" s="12"/>
      <c r="J161" s="0" t="n">
        <v>61</v>
      </c>
      <c r="K161" s="0" t="n">
        <v>1100</v>
      </c>
      <c r="L161" s="0" t="n">
        <f aca="false">K161*J161</f>
        <v>67100</v>
      </c>
    </row>
    <row r="162" customFormat="false" ht="15" hidden="false" customHeight="false" outlineLevel="0" collapsed="false">
      <c r="B162" s="12"/>
      <c r="C162" s="12"/>
      <c r="D162" s="12"/>
      <c r="J162" s="0" t="n">
        <v>72</v>
      </c>
      <c r="K162" s="0" t="n">
        <v>900</v>
      </c>
      <c r="L162" s="0" t="n">
        <f aca="false">K162*J162</f>
        <v>64800</v>
      </c>
    </row>
    <row r="163" customFormat="false" ht="15" hidden="false" customHeight="false" outlineLevel="0" collapsed="false">
      <c r="B163" s="12"/>
      <c r="C163" s="12"/>
      <c r="D163" s="12"/>
      <c r="L163" s="0" t="n">
        <f aca="false">SUM(L161:L162)</f>
        <v>131900</v>
      </c>
      <c r="M163" s="0" t="n">
        <v>44</v>
      </c>
    </row>
    <row r="164" customFormat="false" ht="15" hidden="false" customHeight="false" outlineLevel="0" collapsed="false">
      <c r="B164" s="12"/>
      <c r="C164" s="12"/>
      <c r="D164" s="12"/>
    </row>
    <row r="165" customFormat="false" ht="15" hidden="false" customHeight="false" outlineLevel="0" collapsed="false">
      <c r="B165" s="12"/>
      <c r="C165" s="12"/>
      <c r="D165" s="12"/>
    </row>
    <row r="166" customFormat="false" ht="15" hidden="false" customHeight="false" outlineLevel="0" collapsed="false">
      <c r="B166" s="12"/>
      <c r="C166" s="12"/>
      <c r="D166" s="12"/>
      <c r="L166" s="3" t="s">
        <v>229</v>
      </c>
      <c r="M166" s="3" t="s">
        <v>230</v>
      </c>
    </row>
    <row r="167" customFormat="false" ht="15" hidden="false" customHeight="false" outlineLevel="0" collapsed="false">
      <c r="B167" s="12"/>
      <c r="C167" s="12"/>
      <c r="D167" s="12"/>
      <c r="K167" s="0" t="s">
        <v>231</v>
      </c>
      <c r="L167" s="0" t="n">
        <v>1150000</v>
      </c>
      <c r="M167" s="0" t="n">
        <f aca="false">L167</f>
        <v>1150000</v>
      </c>
    </row>
    <row r="168" customFormat="false" ht="15" hidden="false" customHeight="false" outlineLevel="0" collapsed="false">
      <c r="B168" s="12"/>
      <c r="C168" s="12"/>
      <c r="D168" s="12"/>
      <c r="K168" s="0" t="s">
        <v>232</v>
      </c>
      <c r="L168" s="0" t="n">
        <v>600000</v>
      </c>
      <c r="M168" s="0" t="n">
        <f aca="false">L168</f>
        <v>600000</v>
      </c>
    </row>
    <row r="169" customFormat="false" ht="15" hidden="false" customHeight="false" outlineLevel="0" collapsed="false">
      <c r="B169" s="12"/>
      <c r="C169" s="12"/>
      <c r="D169" s="12"/>
      <c r="K169" s="0" t="s">
        <v>233</v>
      </c>
      <c r="L169" s="0" t="n">
        <v>500000</v>
      </c>
      <c r="M169" s="0" t="n">
        <f aca="false">L169</f>
        <v>500000</v>
      </c>
    </row>
    <row r="170" customFormat="false" ht="15" hidden="false" customHeight="false" outlineLevel="0" collapsed="false">
      <c r="K170" s="0" t="s">
        <v>234</v>
      </c>
      <c r="L170" s="0" t="n">
        <v>700000</v>
      </c>
      <c r="M170" s="0" t="n">
        <f aca="false">L170</f>
        <v>700000</v>
      </c>
    </row>
    <row r="171" customFormat="false" ht="15" hidden="false" customHeight="false" outlineLevel="0" collapsed="false">
      <c r="K171" s="0" t="s">
        <v>235</v>
      </c>
      <c r="L171" s="0" t="n">
        <f aca="false">L159*M159</f>
        <v>6491936</v>
      </c>
      <c r="M171" s="0" t="n">
        <f aca="false">L163*M163</f>
        <v>5803600</v>
      </c>
    </row>
    <row r="172" customFormat="false" ht="15.75" hidden="false" customHeight="false" outlineLevel="0" collapsed="false">
      <c r="C172" s="40"/>
      <c r="D172" s="40"/>
      <c r="E172" s="40"/>
      <c r="F172" s="40"/>
      <c r="K172" s="0" t="s">
        <v>236</v>
      </c>
      <c r="L172" s="0" t="n">
        <f aca="false">L171*0.15</f>
        <v>973790.4</v>
      </c>
      <c r="M172" s="0" t="n">
        <f aca="false">M171*0.15</f>
        <v>870540</v>
      </c>
    </row>
    <row r="173" customFormat="false" ht="15" hidden="false" customHeight="false" outlineLevel="0" collapsed="false">
      <c r="D173" s="26"/>
      <c r="E173" s="26"/>
      <c r="F173" s="26"/>
    </row>
    <row r="174" customFormat="false" ht="15" hidden="false" customHeight="false" outlineLevel="0" collapsed="false">
      <c r="K174" s="0" t="s">
        <v>237</v>
      </c>
      <c r="L174" s="0" t="n">
        <f aca="false">SUM(L167:L172)</f>
        <v>10415726.4</v>
      </c>
      <c r="M174" s="0" t="n">
        <f aca="false">SUM(M167:M172)</f>
        <v>9624140</v>
      </c>
    </row>
    <row r="175" customFormat="false" ht="15" hidden="false" customHeight="false" outlineLevel="0" collapsed="false">
      <c r="D175" s="18"/>
      <c r="F175" s="1"/>
      <c r="K175" s="0" t="s">
        <v>238</v>
      </c>
      <c r="L175" s="0" t="n">
        <f aca="false">L174/134</f>
        <v>77729.3014925373</v>
      </c>
      <c r="M175" s="0" t="n">
        <f aca="false">M174/134</f>
        <v>71821.9402985075</v>
      </c>
    </row>
    <row r="176" customFormat="false" ht="15" hidden="false" customHeight="false" outlineLevel="0" collapsed="false">
      <c r="E176" s="18"/>
      <c r="F176" s="18"/>
    </row>
    <row r="177" customFormat="false" ht="15" hidden="false" customHeight="false" outlineLevel="0" collapsed="false">
      <c r="D177" s="18"/>
      <c r="E177" s="18"/>
      <c r="F177" s="18"/>
      <c r="K177" s="0" t="s">
        <v>239</v>
      </c>
      <c r="L177" s="0" t="n">
        <f aca="false">L174*0.8</f>
        <v>8332581.12</v>
      </c>
      <c r="M177" s="0" t="n">
        <f aca="false">M174*0.8</f>
        <v>7699312</v>
      </c>
    </row>
    <row r="178" customFormat="false" ht="15" hidden="false" customHeight="false" outlineLevel="0" collapsed="false">
      <c r="D178" s="18"/>
      <c r="E178" s="18"/>
      <c r="F178" s="18"/>
    </row>
    <row r="179" customFormat="false" ht="15" hidden="false" customHeight="false" outlineLevel="0" collapsed="false">
      <c r="K179" s="0" t="s">
        <v>240</v>
      </c>
      <c r="L179" s="0" t="n">
        <v>1000000</v>
      </c>
      <c r="M179" s="0" t="n">
        <f aca="false">L179</f>
        <v>1000000</v>
      </c>
    </row>
    <row r="180" customFormat="false" ht="15" hidden="false" customHeight="false" outlineLevel="0" collapsed="false">
      <c r="K180" s="0" t="s">
        <v>241</v>
      </c>
      <c r="L180" s="0" t="n">
        <f aca="false">L179/0.1</f>
        <v>10000000</v>
      </c>
      <c r="M180" s="0" t="n">
        <f aca="false">L180</f>
        <v>10000000</v>
      </c>
    </row>
    <row r="181" customFormat="false" ht="15" hidden="false" customHeight="false" outlineLevel="0" collapsed="false">
      <c r="K181" s="0" t="s">
        <v>242</v>
      </c>
      <c r="L181" s="0" t="n">
        <f aca="false">L180*0.8</f>
        <v>8000000</v>
      </c>
      <c r="M181" s="0" t="n">
        <f aca="false">L181</f>
        <v>8000000</v>
      </c>
    </row>
    <row r="182" customFormat="false" ht="15" hidden="false" customHeight="false" outlineLevel="0" collapsed="false">
      <c r="A182" s="8"/>
      <c r="C182" s="39"/>
      <c r="D182" s="39"/>
      <c r="E182" s="39"/>
      <c r="F182" s="39"/>
    </row>
    <row r="183" customFormat="false" ht="15" hidden="false" customHeight="false" outlineLevel="0" collapsed="false">
      <c r="K183" s="0" t="s">
        <v>243</v>
      </c>
      <c r="L183" s="0" t="n">
        <f aca="false">(PMT(0.075/12,360,L181))*12</f>
        <v>-671245.928210668</v>
      </c>
      <c r="M183" s="0" t="n">
        <f aca="false">(PMT(0.075/12,360,M181))*12</f>
        <v>-671245.928210668</v>
      </c>
    </row>
    <row r="184" customFormat="false" ht="15" hidden="false" customHeight="false" outlineLevel="0" collapsed="false">
      <c r="C184" s="21"/>
      <c r="D184" s="21"/>
      <c r="E184" s="21"/>
      <c r="F184" s="21"/>
      <c r="K184" s="0" t="s">
        <v>244</v>
      </c>
      <c r="L184" s="0" t="n">
        <f aca="false">L179+L183</f>
        <v>328754.071789332</v>
      </c>
      <c r="M184" s="0" t="n">
        <f aca="false">M179+M183</f>
        <v>328754.071789332</v>
      </c>
    </row>
    <row r="186" customFormat="false" ht="15" hidden="false" customHeight="false" outlineLevel="0" collapsed="false">
      <c r="K186" s="0" t="s">
        <v>245</v>
      </c>
      <c r="L186" s="0" t="n">
        <f aca="false">L177-L181</f>
        <v>332581.120000001</v>
      </c>
      <c r="M186" s="0" t="n">
        <f aca="false">M177-M181</f>
        <v>-300688</v>
      </c>
    </row>
    <row r="188" customFormat="false" ht="15.75" hidden="false" customHeight="false" outlineLevel="0" collapsed="false">
      <c r="B188" s="9" t="s">
        <v>246</v>
      </c>
      <c r="C188" s="0" t="s">
        <v>247</v>
      </c>
      <c r="E188" s="3" t="s">
        <v>248</v>
      </c>
      <c r="G188" s="41" t="s">
        <v>249</v>
      </c>
    </row>
    <row r="189" customFormat="false" ht="15" hidden="false" customHeight="false" outlineLevel="0" collapsed="false">
      <c r="B189" s="0" t="s">
        <v>250</v>
      </c>
      <c r="C189" s="0" t="n">
        <v>250</v>
      </c>
      <c r="E189" s="0" t="n">
        <v>350</v>
      </c>
      <c r="G189" s="41" t="n">
        <v>300000</v>
      </c>
    </row>
    <row r="190" customFormat="false" ht="15" hidden="false" customHeight="false" outlineLevel="0" collapsed="false">
      <c r="B190" s="0" t="s">
        <v>41</v>
      </c>
      <c r="C190" s="0" t="n">
        <v>300</v>
      </c>
      <c r="E190" s="0" t="n">
        <v>300</v>
      </c>
      <c r="G190" s="41" t="n">
        <v>300000</v>
      </c>
    </row>
    <row r="191" customFormat="false" ht="15" hidden="false" customHeight="false" outlineLevel="0" collapsed="false">
      <c r="B191" s="0" t="s">
        <v>251</v>
      </c>
      <c r="C191" s="0" t="n">
        <v>1500</v>
      </c>
      <c r="E191" s="0" t="n">
        <v>2000</v>
      </c>
      <c r="G191" s="42" t="n">
        <f aca="false">G197-SUM(G192:G195)-G190-G189</f>
        <v>2000000</v>
      </c>
    </row>
    <row r="192" customFormat="false" ht="15" hidden="false" customHeight="false" outlineLevel="0" collapsed="false">
      <c r="G192" s="41" t="n">
        <v>0</v>
      </c>
    </row>
    <row r="193" customFormat="false" ht="15" hidden="false" customHeight="false" outlineLevel="0" collapsed="false">
      <c r="B193" s="0" t="s">
        <v>252</v>
      </c>
      <c r="C193" s="0" t="n">
        <v>50</v>
      </c>
      <c r="E193" s="0" t="n">
        <v>50</v>
      </c>
      <c r="G193" s="41" t="n">
        <v>50000</v>
      </c>
    </row>
    <row r="194" customFormat="false" ht="15" hidden="false" customHeight="false" outlineLevel="0" collapsed="false">
      <c r="B194" s="0" t="s">
        <v>253</v>
      </c>
      <c r="C194" s="0" t="n">
        <v>2500</v>
      </c>
      <c r="E194" s="0" t="n">
        <v>3500</v>
      </c>
      <c r="G194" s="41" t="n">
        <v>4350000</v>
      </c>
    </row>
    <row r="195" customFormat="false" ht="15" hidden="false" customHeight="false" outlineLevel="0" collapsed="false">
      <c r="G195" s="41" t="n">
        <v>0</v>
      </c>
    </row>
    <row r="196" customFormat="false" ht="15" hidden="false" customHeight="false" outlineLevel="0" collapsed="false">
      <c r="G196" s="41"/>
    </row>
    <row r="197" customFormat="false" ht="15" hidden="false" customHeight="false" outlineLevel="0" collapsed="false">
      <c r="B197" s="0" t="s">
        <v>254</v>
      </c>
      <c r="C197" s="0" t="n">
        <f aca="false">SUM(C189:C195)</f>
        <v>4600</v>
      </c>
      <c r="E197" s="0" t="n">
        <f aca="false">SUM(E189:E195)</f>
        <v>6200</v>
      </c>
      <c r="G197" s="41" t="n">
        <v>7000000</v>
      </c>
    </row>
    <row r="198" customFormat="false" ht="15" hidden="false" customHeight="false" outlineLevel="0" collapsed="false">
      <c r="B198" s="0" t="s">
        <v>255</v>
      </c>
      <c r="C198" s="0" t="n">
        <f aca="false">(C194+C192+C195)*0.09</f>
        <v>225</v>
      </c>
      <c r="E198" s="0" t="n">
        <f aca="false">E194*0.09</f>
        <v>315</v>
      </c>
      <c r="G198" s="41" t="n">
        <f aca="false">G194*0.09</f>
        <v>391500</v>
      </c>
    </row>
    <row r="200" customFormat="false" ht="20.25" hidden="false" customHeight="false" outlineLevel="0" collapsed="false">
      <c r="B200" s="0" t="s">
        <v>256</v>
      </c>
      <c r="C200" s="1" t="n">
        <f aca="false">FV(0.1/12,18*12,0,-C191,0)</f>
        <v>9007.04020085891</v>
      </c>
      <c r="D200" s="1"/>
      <c r="E200" s="1" t="n">
        <f aca="false">FV(0.1/12,18*12,0,-E191,0)</f>
        <v>12009.3869344785</v>
      </c>
      <c r="F200" s="1"/>
      <c r="G200" s="1" t="n">
        <f aca="false">FV(0.1/12,18*12,0,-G191,0)</f>
        <v>12009386.9344786</v>
      </c>
      <c r="L200" s="0" t="s">
        <v>257</v>
      </c>
      <c r="M200" s="0" t="s">
        <v>255</v>
      </c>
      <c r="N200" s="40" t="s">
        <v>258</v>
      </c>
      <c r="O200" s="3" t="s">
        <v>254</v>
      </c>
      <c r="Q200" s="11"/>
    </row>
    <row r="201" customFormat="false" ht="15" hidden="false" customHeight="false" outlineLevel="0" collapsed="false">
      <c r="B201" s="0" t="s">
        <v>259</v>
      </c>
      <c r="K201" s="0" t="s">
        <v>260</v>
      </c>
      <c r="L201" s="26" t="n">
        <v>0.15</v>
      </c>
      <c r="M201" s="26" t="n">
        <f aca="false">$I$117*0.7</f>
        <v>3010163.2181096</v>
      </c>
      <c r="N201" s="1"/>
      <c r="O201" s="1" t="n">
        <f aca="false">SUM(L201:N201)</f>
        <v>3010163.3681096</v>
      </c>
      <c r="R201" s="1"/>
    </row>
    <row r="202" customFormat="false" ht="15" hidden="false" customHeight="false" outlineLevel="0" collapsed="false">
      <c r="K202" s="0" t="s">
        <v>261</v>
      </c>
      <c r="L202" s="26" t="n">
        <f aca="false">J117</f>
        <v>459036</v>
      </c>
      <c r="M202" s="26" t="n">
        <f aca="false">$I$117*0.05</f>
        <v>215011.6584364</v>
      </c>
      <c r="N202" s="1" t="n">
        <f aca="false">$H$117</f>
        <v>2387775.331472</v>
      </c>
      <c r="O202" s="1" t="n">
        <f aca="false">SUM(L202:N202)</f>
        <v>3061822.9899084</v>
      </c>
      <c r="R202" s="1"/>
    </row>
    <row r="203" customFormat="false" ht="15" hidden="false" customHeight="false" outlineLevel="0" collapsed="false">
      <c r="K203" s="0" t="s">
        <v>262</v>
      </c>
      <c r="L203" s="26" t="n">
        <v>0.1</v>
      </c>
      <c r="M203" s="26" t="n">
        <f aca="false">$I$117*0.05</f>
        <v>215011.6584364</v>
      </c>
      <c r="N203" s="1"/>
      <c r="O203" s="1" t="n">
        <f aca="false">SUM(L203:N203)</f>
        <v>215011.7584364</v>
      </c>
      <c r="R203" s="1"/>
    </row>
    <row r="204" customFormat="false" ht="15" hidden="false" customHeight="false" outlineLevel="0" collapsed="false">
      <c r="K204" s="0" t="s">
        <v>263</v>
      </c>
      <c r="L204" s="26" t="n">
        <v>0.15</v>
      </c>
      <c r="M204" s="26" t="n">
        <f aca="false">$I$117*0.15</f>
        <v>645034.9753092</v>
      </c>
      <c r="N204" s="1"/>
      <c r="O204" s="1" t="n">
        <f aca="false">SUM(L204:N204)</f>
        <v>645035.1253092</v>
      </c>
    </row>
    <row r="205" customFormat="false" ht="15" hidden="false" customHeight="false" outlineLevel="0" collapsed="false">
      <c r="K205" s="0" t="s">
        <v>157</v>
      </c>
      <c r="L205" s="26" t="n">
        <v>0.05</v>
      </c>
      <c r="M205" s="26" t="n">
        <f aca="false">$I$117*0.05</f>
        <v>215011.6584364</v>
      </c>
      <c r="N205" s="1"/>
      <c r="O205" s="1" t="n">
        <f aca="false">SUM(L205:N205)</f>
        <v>215011.7084364</v>
      </c>
    </row>
    <row r="206" customFormat="false" ht="15" hidden="false" customHeight="false" outlineLevel="0" collapsed="false">
      <c r="L206" s="26"/>
      <c r="N206" s="1"/>
      <c r="Q206" s="1"/>
      <c r="R206" s="1"/>
    </row>
    <row r="207" customFormat="false" ht="15" hidden="false" customHeight="false" outlineLevel="0" collapsed="false">
      <c r="K207" s="0" t="s">
        <v>237</v>
      </c>
      <c r="L207" s="26" t="n">
        <f aca="false">SUM(L201:L205)</f>
        <v>459036.45</v>
      </c>
      <c r="M207" s="1" t="n">
        <f aca="false">SUM(M201:M205)</f>
        <v>4300233.168728</v>
      </c>
      <c r="N207" s="1" t="n">
        <f aca="false">SUM(N201:N205)</f>
        <v>2387775.331472</v>
      </c>
      <c r="O207" s="1" t="n">
        <f aca="false">SUM(O201:O205)</f>
        <v>7147044.9502</v>
      </c>
    </row>
    <row r="210" customFormat="false" ht="15" hidden="false" customHeight="false" outlineLevel="0" collapsed="false">
      <c r="K210" s="0" t="s">
        <v>260</v>
      </c>
      <c r="N210" s="36"/>
    </row>
    <row r="211" customFormat="false" ht="15" hidden="false" customHeight="false" outlineLevel="0" collapsed="false">
      <c r="K211" s="0" t="s">
        <v>264</v>
      </c>
      <c r="M211" s="1"/>
    </row>
    <row r="212" customFormat="false" ht="15" hidden="false" customHeight="false" outlineLevel="0" collapsed="false">
      <c r="K212" s="0" t="s">
        <v>265</v>
      </c>
      <c r="M212" s="1"/>
    </row>
    <row r="213" customFormat="false" ht="15" hidden="false" customHeight="false" outlineLevel="0" collapsed="false">
      <c r="K213" s="0" t="s">
        <v>266</v>
      </c>
      <c r="M213" s="1" t="n">
        <v>1000000</v>
      </c>
    </row>
    <row r="214" customFormat="false" ht="15" hidden="false" customHeight="false" outlineLevel="0" collapsed="false">
      <c r="K214" s="0" t="s">
        <v>267</v>
      </c>
      <c r="M214" s="1" t="n">
        <v>1500000</v>
      </c>
    </row>
    <row r="215" customFormat="false" ht="15" hidden="false" customHeight="false" outlineLevel="0" collapsed="false">
      <c r="K215" s="0" t="s">
        <v>268</v>
      </c>
      <c r="M215" s="1"/>
    </row>
    <row r="216" customFormat="false" ht="15" hidden="false" customHeight="false" outlineLevel="0" collapsed="false">
      <c r="K216" s="0" t="s">
        <v>269</v>
      </c>
      <c r="M216" s="1"/>
    </row>
    <row r="217" customFormat="false" ht="15" hidden="false" customHeight="false" outlineLevel="0" collapsed="false">
      <c r="L217" s="0" t="s">
        <v>237</v>
      </c>
      <c r="M217" s="1" t="n">
        <f aca="false">SUM(M211:M216)</f>
        <v>2500000</v>
      </c>
    </row>
    <row r="218" customFormat="false" ht="15" hidden="false" customHeight="false" outlineLevel="0" collapsed="false">
      <c r="M218" s="1"/>
    </row>
    <row r="219" customFormat="false" ht="15" hidden="false" customHeight="false" outlineLevel="0" collapsed="false">
      <c r="M219" s="1"/>
    </row>
  </sheetData>
  <mergeCells count="1">
    <mergeCell ref="X11:Y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05" man="true" max="16383" min="0"/>
  </rowBreaks>
  <colBreaks count="2" manualBreakCount="2">
    <brk id="11" man="true" max="65535" min="0"/>
    <brk id="19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5" activeCellId="0" sqref="C1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3.44"/>
    <col collapsed="false" customWidth="true" hidden="false" outlineLevel="0" max="3" min="2" style="43" width="13.44"/>
    <col collapsed="false" customWidth="true" hidden="false" outlineLevel="0" max="4" min="4" style="43" width="10.99"/>
    <col collapsed="false" customWidth="true" hidden="false" outlineLevel="0" max="6" min="6" style="0" width="10.55"/>
  </cols>
  <sheetData>
    <row r="1" customFormat="false" ht="17.25" hidden="false" customHeight="false" outlineLevel="0" collapsed="false">
      <c r="B1" s="44" t="s">
        <v>270</v>
      </c>
      <c r="C1" s="44" t="s">
        <v>271</v>
      </c>
      <c r="D1" s="44" t="s">
        <v>272</v>
      </c>
      <c r="E1" s="36"/>
      <c r="F1" s="0" t="s">
        <v>273</v>
      </c>
      <c r="G1" s="0" t="s">
        <v>274</v>
      </c>
    </row>
    <row r="2" customFormat="false" ht="15" hidden="false" customHeight="false" outlineLevel="0" collapsed="false">
      <c r="A2" s="0" t="s">
        <v>275</v>
      </c>
      <c r="B2" s="43" t="n">
        <v>3000</v>
      </c>
      <c r="C2" s="43" t="n">
        <v>6</v>
      </c>
      <c r="D2" s="43" t="n">
        <f aca="false">B2*C2</f>
        <v>18000</v>
      </c>
      <c r="F2" s="0" t="n">
        <f aca="false">D2</f>
        <v>18000</v>
      </c>
      <c r="G2" s="0" t="n">
        <v>18000</v>
      </c>
    </row>
    <row r="3" customFormat="false" ht="15" hidden="false" customHeight="false" outlineLevel="0" collapsed="false">
      <c r="A3" s="0" t="s">
        <v>276</v>
      </c>
      <c r="B3" s="43" t="n">
        <v>5000</v>
      </c>
      <c r="C3" s="43" t="n">
        <v>12</v>
      </c>
      <c r="D3" s="43" t="n">
        <f aca="false">B3*C3</f>
        <v>60000</v>
      </c>
      <c r="F3" s="0" t="n">
        <f aca="false">D3</f>
        <v>60000</v>
      </c>
      <c r="G3" s="0" t="n">
        <v>90000</v>
      </c>
    </row>
    <row r="4" customFormat="false" ht="15" hidden="false" customHeight="false" outlineLevel="0" collapsed="false">
      <c r="A4" s="0" t="s">
        <v>277</v>
      </c>
      <c r="B4" s="43" t="n">
        <v>40</v>
      </c>
      <c r="C4" s="43" t="n">
        <v>150</v>
      </c>
      <c r="D4" s="43" t="n">
        <f aca="false">B4*C4</f>
        <v>6000</v>
      </c>
      <c r="F4" s="0" t="n">
        <f aca="false">D4</f>
        <v>6000</v>
      </c>
      <c r="G4" s="0" t="n">
        <v>8000</v>
      </c>
    </row>
    <row r="5" customFormat="false" ht="15" hidden="false" customHeight="false" outlineLevel="0" collapsed="false">
      <c r="A5" s="0" t="s">
        <v>278</v>
      </c>
      <c r="B5" s="43" t="n">
        <v>4000</v>
      </c>
      <c r="C5" s="43" t="n">
        <v>3</v>
      </c>
      <c r="D5" s="43" t="n">
        <f aca="false">B5*C5</f>
        <v>12000</v>
      </c>
      <c r="F5" s="0" t="n">
        <f aca="false">D5</f>
        <v>12000</v>
      </c>
      <c r="G5" s="0" t="n">
        <v>29000</v>
      </c>
      <c r="I5" s="0" t="s">
        <v>279</v>
      </c>
      <c r="J5" s="0" t="n">
        <f aca="false">50*20*2</f>
        <v>2000</v>
      </c>
    </row>
    <row r="6" customFormat="false" ht="15" hidden="false" customHeight="false" outlineLevel="0" collapsed="false">
      <c r="A6" s="0" t="s">
        <v>280</v>
      </c>
      <c r="B6" s="43" t="n">
        <f aca="false">1000+1000+1400+1400+200+200+200+200</f>
        <v>5600</v>
      </c>
      <c r="C6" s="43" t="n">
        <v>6</v>
      </c>
      <c r="D6" s="43" t="n">
        <f aca="false">B6*C6</f>
        <v>33600</v>
      </c>
      <c r="F6" s="0" t="n">
        <f aca="false">D6</f>
        <v>33600</v>
      </c>
      <c r="G6" s="0" t="n">
        <v>0</v>
      </c>
      <c r="I6" s="0" t="s">
        <v>281</v>
      </c>
      <c r="J6" s="0" t="n">
        <f aca="false">50*20*2</f>
        <v>2000</v>
      </c>
    </row>
    <row r="7" customFormat="false" ht="15" hidden="false" customHeight="false" outlineLevel="0" collapsed="false">
      <c r="A7" s="0" t="s">
        <v>282</v>
      </c>
      <c r="D7" s="43" t="n">
        <v>8000</v>
      </c>
      <c r="I7" s="0" t="s">
        <v>283</v>
      </c>
      <c r="J7" s="0" t="n">
        <f aca="false">22*20*4</f>
        <v>1760</v>
      </c>
    </row>
    <row r="8" customFormat="false" ht="15" hidden="false" customHeight="false" outlineLevel="0" collapsed="false">
      <c r="A8" s="0" t="s">
        <v>284</v>
      </c>
      <c r="D8" s="43" t="n">
        <v>10000</v>
      </c>
      <c r="G8" s="0" t="n">
        <v>0</v>
      </c>
    </row>
    <row r="9" customFormat="false" ht="15" hidden="false" customHeight="false" outlineLevel="0" collapsed="false">
      <c r="A9" s="0" t="s">
        <v>285</v>
      </c>
      <c r="D9" s="43" t="n">
        <v>7500</v>
      </c>
      <c r="I9" s="0" t="s">
        <v>286</v>
      </c>
      <c r="J9" s="0" t="n">
        <f aca="false">16*8*2</f>
        <v>256</v>
      </c>
    </row>
    <row r="10" customFormat="false" ht="15" hidden="false" customHeight="false" outlineLevel="0" collapsed="false">
      <c r="A10" s="0" t="s">
        <v>287</v>
      </c>
      <c r="D10" s="43" t="n">
        <v>15000</v>
      </c>
      <c r="I10" s="0" t="s">
        <v>288</v>
      </c>
      <c r="J10" s="0" t="n">
        <f aca="false">2.5*7*8</f>
        <v>140</v>
      </c>
    </row>
    <row r="11" customFormat="false" ht="15" hidden="false" customHeight="false" outlineLevel="0" collapsed="false">
      <c r="A11" s="0" t="s">
        <v>289</v>
      </c>
      <c r="D11" s="43" t="n">
        <v>5000</v>
      </c>
      <c r="I11" s="0" t="s">
        <v>290</v>
      </c>
      <c r="J11" s="0" t="n">
        <f aca="false">15*20</f>
        <v>300</v>
      </c>
    </row>
    <row r="12" customFormat="false" ht="15" hidden="false" customHeight="false" outlineLevel="0" collapsed="false">
      <c r="A12" s="0" t="s">
        <v>291</v>
      </c>
      <c r="B12" s="43" t="n">
        <v>40</v>
      </c>
      <c r="C12" s="43" t="n">
        <v>75</v>
      </c>
      <c r="D12" s="43" t="n">
        <f aca="false">B12*C12</f>
        <v>3000</v>
      </c>
    </row>
    <row r="13" customFormat="false" ht="15" hidden="false" customHeight="false" outlineLevel="0" collapsed="false">
      <c r="A13" s="0" t="s">
        <v>292</v>
      </c>
      <c r="D13" s="43" t="n">
        <v>6000</v>
      </c>
      <c r="J13" s="0" t="n">
        <f aca="false">SUM(J5:J7)-SUM(J9:J11)</f>
        <v>5064</v>
      </c>
    </row>
    <row r="14" customFormat="false" ht="15" hidden="false" customHeight="false" outlineLevel="0" collapsed="false">
      <c r="A14" s="0" t="s">
        <v>293</v>
      </c>
      <c r="D14" s="43" t="n">
        <v>3000</v>
      </c>
    </row>
    <row r="15" customFormat="false" ht="15" hidden="false" customHeight="false" outlineLevel="0" collapsed="false">
      <c r="A15" s="0" t="s">
        <v>294</v>
      </c>
      <c r="B15" s="43" t="n">
        <v>5000</v>
      </c>
      <c r="C15" s="43" t="n">
        <v>2</v>
      </c>
      <c r="D15" s="43" t="n">
        <f aca="false">B15*C15</f>
        <v>10000</v>
      </c>
    </row>
    <row r="16" customFormat="false" ht="15" hidden="false" customHeight="false" outlineLevel="0" collapsed="false">
      <c r="A16" s="0" t="s">
        <v>295</v>
      </c>
      <c r="B16" s="43" t="n">
        <v>15</v>
      </c>
      <c r="C16" s="43" t="n">
        <v>200</v>
      </c>
      <c r="D16" s="43" t="n">
        <f aca="false">B16*C16</f>
        <v>3000</v>
      </c>
    </row>
    <row r="17" customFormat="false" ht="15" hidden="false" customHeight="false" outlineLevel="0" collapsed="false">
      <c r="A17" s="0" t="s">
        <v>296</v>
      </c>
      <c r="B17" s="43" t="n">
        <v>4</v>
      </c>
      <c r="C17" s="43" t="n">
        <v>500</v>
      </c>
      <c r="D17" s="43" t="n">
        <f aca="false">B17*C17</f>
        <v>2000</v>
      </c>
    </row>
    <row r="18" customFormat="false" ht="15" hidden="false" customHeight="false" outlineLevel="0" collapsed="false">
      <c r="A18" s="0" t="s">
        <v>297</v>
      </c>
      <c r="D18" s="43" t="n">
        <v>5000</v>
      </c>
    </row>
    <row r="19" customFormat="false" ht="15" hidden="false" customHeight="false" outlineLevel="0" collapsed="false">
      <c r="A19" s="0" t="s">
        <v>298</v>
      </c>
      <c r="D19" s="43" t="n">
        <v>3500</v>
      </c>
    </row>
    <row r="20" customFormat="false" ht="15" hidden="false" customHeight="false" outlineLevel="0" collapsed="false">
      <c r="A20" s="0" t="s">
        <v>299</v>
      </c>
      <c r="D20" s="43" t="n">
        <v>6000</v>
      </c>
    </row>
    <row r="21" customFormat="false" ht="15" hidden="false" customHeight="false" outlineLevel="0" collapsed="false">
      <c r="A21" s="0" t="s">
        <v>300</v>
      </c>
      <c r="D21" s="43" t="n">
        <v>1500</v>
      </c>
    </row>
    <row r="22" customFormat="false" ht="15" hidden="false" customHeight="false" outlineLevel="0" collapsed="false">
      <c r="A22" s="0" t="s">
        <v>301</v>
      </c>
      <c r="D22" s="43" t="n">
        <v>20000</v>
      </c>
    </row>
    <row r="23" customFormat="false" ht="15" hidden="false" customHeight="false" outlineLevel="0" collapsed="false">
      <c r="A23" s="0" t="s">
        <v>302</v>
      </c>
      <c r="D23" s="43" t="n">
        <v>7500</v>
      </c>
    </row>
    <row r="24" customFormat="false" ht="15" hidden="false" customHeight="false" outlineLevel="0" collapsed="false">
      <c r="A24" s="0" t="s">
        <v>303</v>
      </c>
      <c r="D24" s="43" t="n">
        <v>5000</v>
      </c>
    </row>
    <row r="25" customFormat="false" ht="15" hidden="false" customHeight="false" outlineLevel="0" collapsed="false">
      <c r="A25" s="0" t="s">
        <v>304</v>
      </c>
      <c r="D25" s="43" t="n">
        <v>5000</v>
      </c>
      <c r="F25" s="0" t="n">
        <v>5000</v>
      </c>
      <c r="G25" s="0" t="n">
        <v>0</v>
      </c>
    </row>
    <row r="26" customFormat="false" ht="15" hidden="false" customHeight="false" outlineLevel="0" collapsed="false">
      <c r="A26" s="0" t="s">
        <v>305</v>
      </c>
      <c r="D26" s="43" t="n">
        <v>5000</v>
      </c>
    </row>
    <row r="27" customFormat="false" ht="15" hidden="false" customHeight="false" outlineLevel="0" collapsed="false">
      <c r="A27" s="0" t="s">
        <v>306</v>
      </c>
      <c r="D27" s="43" t="n">
        <v>3000</v>
      </c>
    </row>
    <row r="28" customFormat="false" ht="15" hidden="false" customHeight="false" outlineLevel="0" collapsed="false">
      <c r="A28" s="0" t="s">
        <v>307</v>
      </c>
      <c r="D28" s="43" t="n">
        <v>25000</v>
      </c>
    </row>
    <row r="30" customFormat="false" ht="15" hidden="false" customHeight="false" outlineLevel="0" collapsed="false">
      <c r="A30" s="0" t="s">
        <v>308</v>
      </c>
      <c r="D30" s="43" t="n">
        <f aca="false">SUM(D2:D28)</f>
        <v>288600</v>
      </c>
      <c r="F30" s="43" t="n">
        <f aca="false">SUM(F2:F28)</f>
        <v>134600</v>
      </c>
      <c r="G30" s="43" t="n">
        <f aca="false">SUM(G2:G28)</f>
        <v>145000</v>
      </c>
    </row>
    <row r="32" customFormat="false" ht="15" hidden="false" customHeight="false" outlineLevel="0" collapsed="false">
      <c r="A32" s="0" t="s">
        <v>309</v>
      </c>
      <c r="D32" s="43" t="n">
        <f aca="false">D30*0.15</f>
        <v>43290</v>
      </c>
      <c r="F32" s="43" t="n">
        <f aca="false">F30*0.15</f>
        <v>20190</v>
      </c>
    </row>
    <row r="34" customFormat="false" ht="15" hidden="false" customHeight="false" outlineLevel="0" collapsed="false">
      <c r="A34" s="0" t="s">
        <v>254</v>
      </c>
      <c r="D34" s="43" t="n">
        <f aca="false">D30+D32</f>
        <v>331890</v>
      </c>
      <c r="F34" s="43" t="n">
        <f aca="false">F30+F32</f>
        <v>154790</v>
      </c>
    </row>
    <row r="36" customFormat="false" ht="15" hidden="false" customHeight="false" outlineLevel="0" collapsed="false">
      <c r="A36" s="0" t="s">
        <v>310</v>
      </c>
      <c r="D36" s="45" t="n">
        <f aca="false">D34/4000</f>
        <v>82.9725</v>
      </c>
    </row>
    <row r="41" customFormat="false" ht="15" hidden="false" customHeight="false" outlineLevel="0" collapsed="false">
      <c r="A41" s="0" t="s">
        <v>311</v>
      </c>
      <c r="D41" s="43" t="n">
        <v>35000</v>
      </c>
    </row>
    <row r="42" customFormat="false" ht="15" hidden="false" customHeight="false" outlineLevel="0" collapsed="false">
      <c r="A42" s="0" t="s">
        <v>312</v>
      </c>
      <c r="D42" s="43" t="n">
        <v>15000</v>
      </c>
    </row>
    <row r="43" customFormat="false" ht="15" hidden="false" customHeight="false" outlineLevel="0" collapsed="false">
      <c r="A43" s="0" t="s">
        <v>313</v>
      </c>
      <c r="D43" s="43" t="n">
        <v>10000</v>
      </c>
    </row>
    <row r="44" customFormat="false" ht="15" hidden="false" customHeight="false" outlineLevel="0" collapsed="false">
      <c r="A44" s="0" t="s">
        <v>314</v>
      </c>
      <c r="D44" s="43" t="n">
        <v>40000</v>
      </c>
    </row>
    <row r="46" customFormat="false" ht="15" hidden="false" customHeight="false" outlineLevel="0" collapsed="false">
      <c r="A46" s="0" t="s">
        <v>254</v>
      </c>
      <c r="D46" s="43" t="n">
        <f aca="false">SUM(D39:D44)+D34</f>
        <v>431890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2"/>
  <sheetViews>
    <sheetView showFormulas="false" showGridLines="true" showRowColHeaders="true" showZeros="true" rightToLeft="false" tabSelected="false" showOutlineSymbols="true" defaultGridColor="true" view="normal" topLeftCell="A69" colorId="64" zoomScale="100" zoomScaleNormal="100" zoomScalePageLayoutView="100" workbookViewId="0">
      <selection pane="topLeft" activeCell="A71" activeCellId="0" sqref="A7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8.77"/>
  </cols>
  <sheetData>
    <row r="1" customFormat="false" ht="15" hidden="false" customHeight="false" outlineLevel="0" collapsed="false">
      <c r="B1" s="0" t="s">
        <v>315</v>
      </c>
      <c r="D1" s="0" t="s">
        <v>316</v>
      </c>
    </row>
    <row r="2" customFormat="false" ht="15" hidden="false" customHeight="false" outlineLevel="0" collapsed="false">
      <c r="A2" s="0" t="s">
        <v>317</v>
      </c>
      <c r="B2" s="0" t="n">
        <v>500</v>
      </c>
      <c r="D2" s="0" t="n">
        <v>500</v>
      </c>
    </row>
    <row r="4" customFormat="false" ht="15" hidden="false" customHeight="false" outlineLevel="0" collapsed="false">
      <c r="A4" s="0" t="s">
        <v>318</v>
      </c>
      <c r="B4" s="0" t="n">
        <v>100</v>
      </c>
      <c r="D4" s="0" t="n">
        <v>75</v>
      </c>
    </row>
    <row r="5" customFormat="false" ht="15" hidden="false" customHeight="false" outlineLevel="0" collapsed="false">
      <c r="A5" s="0" t="s">
        <v>319</v>
      </c>
      <c r="B5" s="0" t="n">
        <v>125</v>
      </c>
      <c r="D5" s="0" t="n">
        <v>125</v>
      </c>
    </row>
    <row r="6" customFormat="false" ht="15" hidden="false" customHeight="false" outlineLevel="0" collapsed="false">
      <c r="A6" s="0" t="s">
        <v>320</v>
      </c>
      <c r="B6" s="0" t="n">
        <v>0</v>
      </c>
      <c r="D6" s="0" t="n">
        <v>0</v>
      </c>
    </row>
    <row r="7" customFormat="false" ht="15" hidden="false" customHeight="false" outlineLevel="0" collapsed="false">
      <c r="A7" s="0" t="s">
        <v>321</v>
      </c>
      <c r="B7" s="0" t="n">
        <v>50</v>
      </c>
      <c r="D7" s="0" t="n">
        <v>50</v>
      </c>
    </row>
    <row r="8" customFormat="false" ht="15" hidden="false" customHeight="false" outlineLevel="0" collapsed="false">
      <c r="A8" s="0" t="s">
        <v>322</v>
      </c>
      <c r="B8" s="0" t="n">
        <v>40</v>
      </c>
      <c r="D8" s="0" t="n">
        <v>40</v>
      </c>
    </row>
    <row r="9" customFormat="false" ht="15" hidden="false" customHeight="false" outlineLevel="0" collapsed="false">
      <c r="A9" s="0" t="s">
        <v>323</v>
      </c>
      <c r="B9" s="0" t="n">
        <v>50</v>
      </c>
      <c r="D9" s="0" t="n">
        <v>50</v>
      </c>
    </row>
    <row r="10" customFormat="false" ht="15" hidden="false" customHeight="false" outlineLevel="0" collapsed="false">
      <c r="A10" s="0" t="s">
        <v>324</v>
      </c>
      <c r="B10" s="0" t="n">
        <v>100</v>
      </c>
      <c r="D10" s="0" t="n">
        <v>85</v>
      </c>
    </row>
    <row r="11" customFormat="false" ht="15" hidden="false" customHeight="false" outlineLevel="0" collapsed="false">
      <c r="A11" s="0" t="s">
        <v>325</v>
      </c>
      <c r="B11" s="0" t="n">
        <v>125</v>
      </c>
      <c r="D11" s="0" t="n">
        <v>115</v>
      </c>
    </row>
    <row r="12" customFormat="false" ht="15" hidden="false" customHeight="false" outlineLevel="0" collapsed="false">
      <c r="A12" s="0" t="s">
        <v>326</v>
      </c>
      <c r="B12" s="0" t="n">
        <v>50</v>
      </c>
      <c r="D12" s="0" t="n">
        <v>50</v>
      </c>
    </row>
    <row r="13" customFormat="false" ht="15" hidden="false" customHeight="false" outlineLevel="0" collapsed="false">
      <c r="A13" s="0" t="s">
        <v>327</v>
      </c>
      <c r="B13" s="0" t="n">
        <v>750</v>
      </c>
      <c r="D13" s="0" t="n">
        <v>750</v>
      </c>
    </row>
    <row r="14" customFormat="false" ht="15" hidden="false" customHeight="false" outlineLevel="0" collapsed="false">
      <c r="A14" s="0" t="s">
        <v>328</v>
      </c>
      <c r="B14" s="0" t="n">
        <v>250</v>
      </c>
      <c r="D14" s="0" t="n">
        <v>200</v>
      </c>
    </row>
    <row r="15" customFormat="false" ht="15" hidden="false" customHeight="false" outlineLevel="0" collapsed="false">
      <c r="A15" s="0" t="s">
        <v>329</v>
      </c>
      <c r="B15" s="0" t="n">
        <v>350</v>
      </c>
      <c r="D15" s="0" t="n">
        <v>300</v>
      </c>
    </row>
    <row r="16" customFormat="false" ht="15" hidden="false" customHeight="false" outlineLevel="0" collapsed="false">
      <c r="A16" s="0" t="s">
        <v>330</v>
      </c>
      <c r="B16" s="0" t="n">
        <v>300</v>
      </c>
      <c r="D16" s="0" t="n">
        <v>200</v>
      </c>
    </row>
    <row r="17" customFormat="false" ht="15" hidden="false" customHeight="false" outlineLevel="0" collapsed="false">
      <c r="A17" s="0" t="s">
        <v>331</v>
      </c>
      <c r="B17" s="0" t="n">
        <v>400</v>
      </c>
      <c r="D17" s="0" t="n">
        <v>200</v>
      </c>
    </row>
    <row r="18" customFormat="false" ht="15" hidden="false" customHeight="false" outlineLevel="0" collapsed="false">
      <c r="A18" s="0" t="s">
        <v>332</v>
      </c>
      <c r="B18" s="0" t="n">
        <v>400</v>
      </c>
      <c r="D18" s="0" t="n">
        <v>250</v>
      </c>
    </row>
    <row r="19" customFormat="false" ht="15" hidden="false" customHeight="false" outlineLevel="0" collapsed="false">
      <c r="A19" s="0" t="s">
        <v>333</v>
      </c>
      <c r="B19" s="0" t="n">
        <v>250</v>
      </c>
      <c r="D19" s="0" t="n">
        <v>200</v>
      </c>
    </row>
    <row r="20" customFormat="false" ht="15" hidden="false" customHeight="false" outlineLevel="0" collapsed="false">
      <c r="A20" s="0" t="s">
        <v>334</v>
      </c>
      <c r="B20" s="0" t="n">
        <v>250</v>
      </c>
      <c r="D20" s="0" t="n">
        <v>200</v>
      </c>
    </row>
    <row r="21" customFormat="false" ht="15" hidden="false" customHeight="false" outlineLevel="0" collapsed="false">
      <c r="A21" s="0" t="s">
        <v>335</v>
      </c>
      <c r="B21" s="0" t="n">
        <v>1000</v>
      </c>
      <c r="D21" s="0" t="n">
        <v>500</v>
      </c>
    </row>
    <row r="22" customFormat="false" ht="15" hidden="false" customHeight="false" outlineLevel="0" collapsed="false">
      <c r="A22" s="0" t="s">
        <v>336</v>
      </c>
      <c r="B22" s="0" t="n">
        <v>300</v>
      </c>
      <c r="D22" s="0" t="n">
        <v>200</v>
      </c>
    </row>
    <row r="23" customFormat="false" ht="15" hidden="false" customHeight="false" outlineLevel="0" collapsed="false">
      <c r="A23" s="0" t="s">
        <v>35</v>
      </c>
      <c r="B23" s="0" t="n">
        <v>200</v>
      </c>
      <c r="D23" s="0" t="n">
        <v>200</v>
      </c>
    </row>
    <row r="24" customFormat="false" ht="15" hidden="false" customHeight="false" outlineLevel="0" collapsed="false">
      <c r="A24" s="0" t="s">
        <v>337</v>
      </c>
      <c r="B24" s="0" t="n">
        <v>200</v>
      </c>
      <c r="D24" s="0" t="n">
        <v>200</v>
      </c>
    </row>
    <row r="25" customFormat="false" ht="15" hidden="false" customHeight="false" outlineLevel="0" collapsed="false">
      <c r="A25" s="0" t="s">
        <v>338</v>
      </c>
      <c r="B25" s="0" t="n">
        <v>500</v>
      </c>
      <c r="D25" s="0" t="n">
        <v>400</v>
      </c>
    </row>
    <row r="27" customFormat="false" ht="15" hidden="false" customHeight="false" outlineLevel="0" collapsed="false">
      <c r="A27" s="0" t="s">
        <v>339</v>
      </c>
      <c r="B27" s="0" t="n">
        <f aca="false">SUM(B2:B26)</f>
        <v>6290</v>
      </c>
      <c r="D27" s="0" t="n">
        <f aca="false">SUM(D2:D26)</f>
        <v>4890</v>
      </c>
    </row>
    <row r="28" customFormat="false" ht="15" hidden="false" customHeight="false" outlineLevel="0" collapsed="false">
      <c r="B28" s="46"/>
    </row>
    <row r="29" customFormat="false" ht="15" hidden="false" customHeight="false" outlineLevel="0" collapsed="false">
      <c r="A29" s="0" t="s">
        <v>340</v>
      </c>
      <c r="B29" s="0" t="n">
        <f aca="false">B27*12</f>
        <v>75480</v>
      </c>
      <c r="D29" s="0" t="n">
        <f aca="false">D27*12</f>
        <v>58680</v>
      </c>
    </row>
    <row r="38" customFormat="false" ht="15" hidden="false" customHeight="false" outlineLevel="0" collapsed="false">
      <c r="B38" s="47"/>
      <c r="C38" s="47"/>
    </row>
    <row r="39" customFormat="false" ht="15" hidden="false" customHeight="false" outlineLevel="0" collapsed="false">
      <c r="B39" s="47"/>
      <c r="C39" s="47"/>
    </row>
    <row r="40" customFormat="false" ht="15" hidden="false" customHeight="false" outlineLevel="0" collapsed="false">
      <c r="B40" s="47"/>
      <c r="C40" s="47"/>
    </row>
    <row r="41" customFormat="false" ht="15" hidden="false" customHeight="false" outlineLevel="0" collapsed="false">
      <c r="B41" s="47"/>
      <c r="C41" s="47"/>
    </row>
    <row r="42" customFormat="false" ht="15" hidden="false" customHeight="false" outlineLevel="0" collapsed="false">
      <c r="B42" s="47"/>
      <c r="C42" s="47"/>
    </row>
    <row r="43" customFormat="false" ht="15" hidden="false" customHeight="false" outlineLevel="0" collapsed="false">
      <c r="B43" s="47"/>
      <c r="C43" s="47"/>
    </row>
    <row r="44" customFormat="false" ht="15" hidden="false" customHeight="false" outlineLevel="0" collapsed="false">
      <c r="B44" s="47"/>
      <c r="C44" s="47"/>
    </row>
    <row r="45" customFormat="false" ht="15" hidden="false" customHeight="false" outlineLevel="0" collapsed="false">
      <c r="B45" s="47"/>
      <c r="C45" s="47"/>
    </row>
    <row r="46" customFormat="false" ht="15" hidden="false" customHeight="false" outlineLevel="0" collapsed="false">
      <c r="B46" s="47"/>
      <c r="C46" s="47"/>
    </row>
    <row r="47" customFormat="false" ht="15" hidden="false" customHeight="false" outlineLevel="0" collapsed="false">
      <c r="B47" s="47"/>
      <c r="C47" s="47"/>
    </row>
    <row r="48" customFormat="false" ht="15" hidden="false" customHeight="false" outlineLevel="0" collapsed="false">
      <c r="B48" s="47"/>
      <c r="C48" s="47"/>
    </row>
    <row r="49" customFormat="false" ht="15" hidden="false" customHeight="false" outlineLevel="0" collapsed="false">
      <c r="B49" s="47"/>
      <c r="C49" s="47"/>
    </row>
    <row r="50" customFormat="false" ht="15" hidden="false" customHeight="false" outlineLevel="0" collapsed="false">
      <c r="B50" s="47"/>
      <c r="C50" s="47"/>
    </row>
    <row r="51" customFormat="false" ht="15" hidden="false" customHeight="false" outlineLevel="0" collapsed="false">
      <c r="B51" s="47"/>
      <c r="C51" s="47"/>
    </row>
    <row r="52" customFormat="false" ht="15" hidden="false" customHeight="false" outlineLevel="0" collapsed="false">
      <c r="B52" s="47"/>
      <c r="C52" s="47"/>
    </row>
    <row r="53" customFormat="false" ht="15" hidden="false" customHeight="false" outlineLevel="0" collapsed="false">
      <c r="B53" s="47"/>
      <c r="C53" s="47"/>
    </row>
    <row r="54" customFormat="false" ht="15" hidden="false" customHeight="false" outlineLevel="0" collapsed="false">
      <c r="B54" s="47"/>
      <c r="C54" s="47"/>
    </row>
    <row r="55" customFormat="false" ht="15" hidden="false" customHeight="false" outlineLevel="0" collapsed="false">
      <c r="B55" s="47"/>
      <c r="C55" s="47"/>
    </row>
    <row r="56" customFormat="false" ht="15" hidden="false" customHeight="false" outlineLevel="0" collapsed="false">
      <c r="B56" s="47"/>
      <c r="C56" s="47"/>
    </row>
    <row r="57" customFormat="false" ht="15" hidden="false" customHeight="false" outlineLevel="0" collapsed="false">
      <c r="B57" s="47"/>
      <c r="C57" s="47"/>
    </row>
    <row r="58" customFormat="false" ht="15" hidden="false" customHeight="false" outlineLevel="0" collapsed="false">
      <c r="B58" s="47"/>
      <c r="C58" s="47"/>
    </row>
    <row r="59" customFormat="false" ht="15" hidden="false" customHeight="false" outlineLevel="0" collapsed="false">
      <c r="B59" s="47"/>
      <c r="C59" s="47"/>
    </row>
    <row r="60" customFormat="false" ht="15" hidden="false" customHeight="false" outlineLevel="0" collapsed="false">
      <c r="A60" s="47"/>
      <c r="B60" s="47"/>
      <c r="C60" s="47"/>
    </row>
    <row r="61" customFormat="false" ht="15" hidden="false" customHeight="false" outlineLevel="0" collapsed="false">
      <c r="B61" s="47"/>
      <c r="C61" s="47"/>
    </row>
    <row r="62" customFormat="false" ht="15" hidden="false" customHeight="false" outlineLevel="0" collapsed="false">
      <c r="B62" s="47"/>
      <c r="C62" s="47"/>
    </row>
    <row r="63" customFormat="false" ht="15" hidden="false" customHeight="false" outlineLevel="0" collapsed="false">
      <c r="B63" s="47"/>
      <c r="C63" s="47"/>
    </row>
    <row r="64" customFormat="false" ht="15" hidden="false" customHeight="false" outlineLevel="0" collapsed="false">
      <c r="B64" s="47"/>
      <c r="C64" s="47"/>
    </row>
    <row r="65" customFormat="false" ht="15" hidden="false" customHeight="false" outlineLevel="0" collapsed="false">
      <c r="B65" s="47"/>
      <c r="C65" s="47"/>
    </row>
    <row r="66" customFormat="false" ht="15" hidden="false" customHeight="false" outlineLevel="0" collapsed="false">
      <c r="B66" s="47"/>
      <c r="C66" s="47"/>
    </row>
    <row r="67" customFormat="false" ht="15" hidden="false" customHeight="false" outlineLevel="0" collapsed="false">
      <c r="B67" s="47"/>
      <c r="C67" s="47"/>
    </row>
    <row r="68" customFormat="false" ht="15" hidden="false" customHeight="false" outlineLevel="0" collapsed="false">
      <c r="B68" s="47"/>
      <c r="C68" s="47"/>
    </row>
    <row r="69" customFormat="false" ht="15" hidden="false" customHeight="false" outlineLevel="0" collapsed="false">
      <c r="B69" s="47"/>
      <c r="C69" s="47"/>
    </row>
    <row r="70" customFormat="false" ht="15" hidden="false" customHeight="false" outlineLevel="0" collapsed="false">
      <c r="B70" s="47"/>
      <c r="C70" s="47"/>
    </row>
    <row r="71" customFormat="false" ht="15" hidden="false" customHeight="false" outlineLevel="0" collapsed="false">
      <c r="B71" s="47"/>
      <c r="C71" s="47"/>
    </row>
    <row r="72" customFormat="false" ht="15" hidden="false" customHeight="false" outlineLevel="0" collapsed="false">
      <c r="A72" s="0" t="s">
        <v>341</v>
      </c>
      <c r="B72" s="47"/>
      <c r="C72" s="47"/>
    </row>
    <row r="73" customFormat="false" ht="15" hidden="false" customHeight="false" outlineLevel="0" collapsed="false">
      <c r="A73" s="0" t="s">
        <v>260</v>
      </c>
    </row>
    <row r="74" customFormat="false" ht="15" hidden="false" customHeight="false" outlineLevel="0" collapsed="false">
      <c r="A74" s="0" t="s">
        <v>263</v>
      </c>
    </row>
    <row r="80" customFormat="false" ht="15" hidden="false" customHeight="false" outlineLevel="0" collapsed="false">
      <c r="A80" s="0" t="s">
        <v>342</v>
      </c>
    </row>
    <row r="81" customFormat="false" ht="15" hidden="false" customHeight="false" outlineLevel="0" collapsed="false">
      <c r="B81" s="0" t="s">
        <v>343</v>
      </c>
      <c r="C81" s="0" t="s">
        <v>344</v>
      </c>
    </row>
    <row r="82" customFormat="false" ht="15" hidden="false" customHeight="false" outlineLevel="0" collapsed="false">
      <c r="A82" s="0" t="s">
        <v>345</v>
      </c>
      <c r="B82" s="0" t="n">
        <v>1000</v>
      </c>
      <c r="C82" s="0" t="n">
        <v>600</v>
      </c>
    </row>
    <row r="83" customFormat="false" ht="15" hidden="false" customHeight="false" outlineLevel="0" collapsed="false">
      <c r="A83" s="0" t="s">
        <v>346</v>
      </c>
      <c r="B83" s="0" t="n">
        <v>500</v>
      </c>
      <c r="C83" s="0" t="n">
        <v>300</v>
      </c>
    </row>
    <row r="84" customFormat="false" ht="15" hidden="false" customHeight="false" outlineLevel="0" collapsed="false">
      <c r="A84" s="0" t="s">
        <v>347</v>
      </c>
      <c r="B84" s="0" t="n">
        <v>750</v>
      </c>
      <c r="C84" s="0" t="n">
        <v>450</v>
      </c>
    </row>
    <row r="85" customFormat="false" ht="15" hidden="false" customHeight="false" outlineLevel="0" collapsed="false">
      <c r="A85" s="0" t="s">
        <v>348</v>
      </c>
      <c r="B85" s="0" t="n">
        <v>750</v>
      </c>
      <c r="C85" s="0" t="n">
        <v>450</v>
      </c>
    </row>
    <row r="86" customFormat="false" ht="15" hidden="false" customHeight="false" outlineLevel="0" collapsed="false">
      <c r="A86" s="0" t="s">
        <v>349</v>
      </c>
      <c r="B86" s="0" t="n">
        <v>500</v>
      </c>
      <c r="C86" s="0" t="n">
        <v>300</v>
      </c>
    </row>
    <row r="87" customFormat="false" ht="15" hidden="false" customHeight="false" outlineLevel="0" collapsed="false">
      <c r="A87" s="0" t="s">
        <v>350</v>
      </c>
      <c r="B87" s="36" t="n">
        <v>2000</v>
      </c>
      <c r="C87" s="36" t="n">
        <v>600</v>
      </c>
    </row>
    <row r="88" customFormat="false" ht="15" hidden="false" customHeight="false" outlineLevel="0" collapsed="false">
      <c r="A88" s="0" t="s">
        <v>351</v>
      </c>
      <c r="B88" s="0" t="n">
        <f aca="false">SUM(B82:B87)</f>
        <v>5500</v>
      </c>
      <c r="C88" s="0" t="n">
        <f aca="false">SUM(C82:C87)</f>
        <v>2700</v>
      </c>
    </row>
    <row r="92" customFormat="false" ht="15" hidden="false" customHeight="false" outlineLevel="0" collapsed="false">
      <c r="A92" s="0" t="s">
        <v>352</v>
      </c>
      <c r="B92" s="0" t="n">
        <v>6000</v>
      </c>
      <c r="C92" s="0" t="n">
        <v>1500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11.1"/>
  </cols>
  <sheetData>
    <row r="1" customFormat="false" ht="15" hidden="false" customHeight="false" outlineLevel="0" collapsed="false">
      <c r="A1" s="48"/>
      <c r="B1" s="48" t="s">
        <v>353</v>
      </c>
      <c r="C1" s="48" t="s">
        <v>354</v>
      </c>
      <c r="D1" s="48" t="s">
        <v>355</v>
      </c>
      <c r="E1" s="48" t="s">
        <v>356</v>
      </c>
      <c r="F1" s="48" t="s">
        <v>357</v>
      </c>
      <c r="G1" s="48"/>
    </row>
    <row r="2" customFormat="false" ht="15.75" hidden="false" customHeight="false" outlineLevel="0" collapsed="false">
      <c r="A2" s="49" t="s">
        <v>358</v>
      </c>
      <c r="B2" s="48"/>
      <c r="C2" s="48"/>
      <c r="D2" s="48"/>
      <c r="E2" s="48"/>
      <c r="F2" s="48"/>
      <c r="G2" s="48"/>
    </row>
    <row r="3" customFormat="false" ht="15" hidden="false" customHeight="false" outlineLevel="0" collapsed="false">
      <c r="A3" s="48"/>
      <c r="B3" s="50" t="n">
        <v>18.375</v>
      </c>
      <c r="C3" s="48" t="n">
        <v>4584</v>
      </c>
      <c r="D3" s="48"/>
      <c r="E3" s="48"/>
      <c r="F3" s="48"/>
      <c r="G3" s="48"/>
    </row>
    <row r="4" customFormat="false" ht="15" hidden="false" customHeight="false" outlineLevel="0" collapsed="false">
      <c r="A4" s="48"/>
      <c r="B4" s="50" t="n">
        <v>20.0625</v>
      </c>
      <c r="C4" s="48" t="n">
        <v>1600</v>
      </c>
      <c r="D4" s="48"/>
      <c r="E4" s="48" t="n">
        <v>1600</v>
      </c>
      <c r="F4" s="48"/>
      <c r="G4" s="48"/>
    </row>
    <row r="5" customFormat="false" ht="15" hidden="false" customHeight="false" outlineLevel="0" collapsed="false">
      <c r="A5" s="48"/>
      <c r="B5" s="50" t="n">
        <v>31.49</v>
      </c>
      <c r="C5" s="48" t="n">
        <v>3124</v>
      </c>
      <c r="D5" s="48"/>
      <c r="E5" s="48" t="n">
        <v>3124</v>
      </c>
      <c r="F5" s="48" t="n">
        <v>3124</v>
      </c>
      <c r="G5" s="48"/>
    </row>
    <row r="6" customFormat="false" ht="15" hidden="false" customHeight="false" outlineLevel="0" collapsed="false">
      <c r="A6" s="48"/>
      <c r="B6" s="50" t="n">
        <v>55.5</v>
      </c>
      <c r="C6" s="48" t="n">
        <v>2565</v>
      </c>
      <c r="D6" s="48"/>
      <c r="E6" s="48" t="n">
        <v>2565</v>
      </c>
      <c r="F6" s="48"/>
      <c r="G6" s="48"/>
    </row>
    <row r="7" customFormat="false" ht="15" hidden="false" customHeight="false" outlineLevel="0" collapsed="false">
      <c r="A7" s="48"/>
      <c r="B7" s="48"/>
      <c r="C7" s="48"/>
      <c r="D7" s="48"/>
      <c r="E7" s="48"/>
      <c r="F7" s="48"/>
      <c r="G7" s="48"/>
    </row>
    <row r="8" customFormat="false" ht="15.75" hidden="false" customHeight="false" outlineLevel="0" collapsed="false">
      <c r="A8" s="49" t="s">
        <v>359</v>
      </c>
      <c r="B8" s="48"/>
      <c r="C8" s="48" t="n">
        <f aca="false">SUM(C3:C6)</f>
        <v>11873</v>
      </c>
      <c r="D8" s="48"/>
      <c r="E8" s="48"/>
      <c r="F8" s="48"/>
      <c r="G8" s="48"/>
    </row>
    <row r="9" customFormat="false" ht="15.75" hidden="false" customHeight="false" outlineLevel="0" collapsed="false">
      <c r="A9" s="49" t="s">
        <v>360</v>
      </c>
      <c r="B9" s="48" t="s">
        <v>361</v>
      </c>
      <c r="C9" s="48" t="n">
        <v>-5000</v>
      </c>
      <c r="D9" s="48"/>
      <c r="E9" s="48"/>
      <c r="F9" s="48"/>
      <c r="G9" s="48"/>
    </row>
    <row r="10" customFormat="false" ht="15" hidden="false" customHeight="false" outlineLevel="0" collapsed="false">
      <c r="A10" s="48"/>
      <c r="B10" s="48" t="s">
        <v>362</v>
      </c>
      <c r="C10" s="48" t="n">
        <v>-5000</v>
      </c>
      <c r="D10" s="48"/>
      <c r="E10" s="48"/>
      <c r="F10" s="48"/>
      <c r="G10" s="48"/>
    </row>
    <row r="11" customFormat="false" ht="15" hidden="false" customHeight="false" outlineLevel="0" collapsed="false">
      <c r="A11" s="48"/>
      <c r="B11" s="48"/>
      <c r="C11" s="48"/>
      <c r="D11" s="48"/>
      <c r="E11" s="48"/>
      <c r="F11" s="48"/>
      <c r="G11" s="48"/>
    </row>
    <row r="12" customFormat="false" ht="15" hidden="false" customHeight="false" outlineLevel="0" collapsed="false">
      <c r="A12" s="48" t="s">
        <v>363</v>
      </c>
      <c r="B12" s="48"/>
      <c r="C12" s="48" t="n">
        <f aca="false">SUM(C8:C10)</f>
        <v>1873</v>
      </c>
      <c r="D12" s="48"/>
      <c r="E12" s="48"/>
      <c r="F12" s="48"/>
      <c r="G12" s="48"/>
    </row>
    <row r="15" customFormat="false" ht="15.75" hidden="false" customHeight="false" outlineLevel="0" collapsed="false">
      <c r="A15" s="51" t="s">
        <v>364</v>
      </c>
      <c r="B15" s="52"/>
      <c r="C15" s="52"/>
      <c r="D15" s="52"/>
      <c r="E15" s="52"/>
      <c r="F15" s="52"/>
      <c r="G15" s="52"/>
    </row>
    <row r="16" customFormat="false" ht="15" hidden="false" customHeight="false" outlineLevel="0" collapsed="false">
      <c r="A16" s="52"/>
      <c r="B16" s="53" t="n">
        <v>76</v>
      </c>
      <c r="C16" s="52" t="n">
        <v>2381</v>
      </c>
      <c r="D16" s="52"/>
      <c r="E16" s="52" t="n">
        <v>2381</v>
      </c>
      <c r="F16" s="52" t="n">
        <v>2381</v>
      </c>
      <c r="G16" s="52"/>
    </row>
    <row r="17" customFormat="false" ht="15" hidden="false" customHeight="false" outlineLevel="0" collapsed="false">
      <c r="A17" s="52"/>
      <c r="B17" s="52" t="n">
        <v>75</v>
      </c>
      <c r="C17" s="52" t="n">
        <f aca="false">1750000/25*0.45</f>
        <v>31500</v>
      </c>
      <c r="D17" s="52" t="n">
        <f aca="false">1750000/25*0.15</f>
        <v>10500</v>
      </c>
      <c r="E17" s="52" t="n">
        <f aca="false">1750000/25*0.15</f>
        <v>10500</v>
      </c>
      <c r="F17" s="52" t="n">
        <f aca="false">1750000/25*0.25</f>
        <v>17500</v>
      </c>
      <c r="G17" s="52"/>
    </row>
    <row r="18" customFormat="false" ht="15" hidden="false" customHeight="false" outlineLevel="0" collapsed="false">
      <c r="A18" s="52"/>
      <c r="B18" s="52"/>
      <c r="C18" s="52"/>
      <c r="D18" s="52"/>
      <c r="E18" s="52"/>
      <c r="F18" s="52"/>
      <c r="G18" s="52"/>
    </row>
    <row r="19" customFormat="false" ht="15.75" hidden="false" customHeight="false" outlineLevel="0" collapsed="false">
      <c r="A19" s="51" t="s">
        <v>359</v>
      </c>
      <c r="B19" s="52"/>
      <c r="C19" s="52" t="n">
        <f aca="false">SUM(C3:C17)</f>
        <v>49500</v>
      </c>
      <c r="D19" s="52" t="n">
        <f aca="false">SUM(D3:D17)</f>
        <v>10500</v>
      </c>
      <c r="E19" s="52" t="n">
        <f aca="false">SUM(E3:E17)</f>
        <v>20170</v>
      </c>
      <c r="F19" s="52" t="n">
        <f aca="false">SUM(F3:F17)</f>
        <v>23005</v>
      </c>
      <c r="G19" s="52"/>
    </row>
    <row r="20" customFormat="false" ht="15" hidden="false" customHeight="false" outlineLevel="0" collapsed="false">
      <c r="A20" s="52"/>
      <c r="B20" s="52"/>
      <c r="C20" s="52"/>
      <c r="D20" s="52"/>
      <c r="E20" s="52"/>
      <c r="F20" s="52"/>
      <c r="G20" s="52"/>
    </row>
    <row r="21" customFormat="false" ht="15" hidden="false" customHeight="false" outlineLevel="0" collapsed="false">
      <c r="A21" s="52" t="s">
        <v>365</v>
      </c>
      <c r="B21" s="52"/>
      <c r="C21" s="52"/>
      <c r="D21" s="52"/>
      <c r="E21" s="52"/>
      <c r="F21" s="52"/>
      <c r="G21" s="52"/>
    </row>
    <row r="22" customFormat="false" ht="15" hidden="false" customHeight="false" outlineLevel="0" collapsed="false">
      <c r="A22" s="52"/>
      <c r="B22" s="52"/>
      <c r="C22" s="52"/>
      <c r="D22" s="52"/>
      <c r="E22" s="52"/>
      <c r="F22" s="52"/>
      <c r="G22" s="52"/>
    </row>
    <row r="23" customFormat="false" ht="15.75" hidden="false" customHeight="false" outlineLevel="0" collapsed="false">
      <c r="A23" s="51" t="s">
        <v>366</v>
      </c>
      <c r="B23" s="52"/>
      <c r="C23" s="52"/>
      <c r="D23" s="52"/>
      <c r="E23" s="52"/>
      <c r="F23" s="52"/>
      <c r="G23" s="52"/>
    </row>
    <row r="26" customFormat="false" ht="15.75" hidden="false" customHeight="false" outlineLevel="0" collapsed="false">
      <c r="A26" s="54" t="s">
        <v>367</v>
      </c>
      <c r="B26" s="55" t="n">
        <v>23333</v>
      </c>
      <c r="C26" s="56"/>
      <c r="D26" s="56"/>
      <c r="E26" s="56"/>
      <c r="F26" s="56"/>
      <c r="G26" s="56"/>
    </row>
    <row r="27" customFormat="false" ht="15" hidden="false" customHeight="false" outlineLevel="0" collapsed="false">
      <c r="A27" s="56"/>
      <c r="B27" s="56"/>
      <c r="C27" s="56"/>
      <c r="D27" s="56"/>
      <c r="E27" s="56"/>
      <c r="F27" s="56"/>
      <c r="G27" s="56"/>
    </row>
    <row r="28" customFormat="false" ht="15" hidden="false" customHeight="false" outlineLevel="0" collapsed="false">
      <c r="A28" s="56"/>
      <c r="B28" s="56"/>
      <c r="C28" s="56"/>
      <c r="D28" s="56"/>
      <c r="E28" s="56"/>
      <c r="F28" s="56"/>
      <c r="G28" s="56"/>
    </row>
    <row r="29" customFormat="false" ht="15" hidden="false" customHeight="false" outlineLevel="0" collapsed="false">
      <c r="A29" s="56"/>
      <c r="B29" s="56" t="s">
        <v>368</v>
      </c>
      <c r="C29" s="56" t="n">
        <v>-30000</v>
      </c>
      <c r="D29" s="56"/>
      <c r="E29" s="56"/>
      <c r="F29" s="56"/>
      <c r="G29" s="56"/>
    </row>
    <row r="30" customFormat="false" ht="15" hidden="false" customHeight="false" outlineLevel="0" collapsed="false">
      <c r="A30" s="56"/>
      <c r="B30" s="56"/>
      <c r="C30" s="56"/>
      <c r="D30" s="56"/>
      <c r="E30" s="56"/>
      <c r="F30" s="56"/>
      <c r="G30" s="56"/>
    </row>
    <row r="31" customFormat="false" ht="15" hidden="false" customHeight="false" outlineLevel="0" collapsed="false">
      <c r="A31" s="56"/>
      <c r="B31" s="56"/>
      <c r="C31" s="56"/>
      <c r="D31" s="56"/>
      <c r="E31" s="56"/>
      <c r="F31" s="56"/>
      <c r="G31" s="56"/>
    </row>
    <row r="32" customFormat="false" ht="15" hidden="false" customHeight="false" outlineLevel="0" collapsed="false">
      <c r="A32" s="56"/>
      <c r="B32" s="56" t="s">
        <v>369</v>
      </c>
      <c r="C32" s="56" t="n">
        <f aca="false">SUM(C19:C28)</f>
        <v>49500</v>
      </c>
      <c r="D32" s="56"/>
      <c r="E32" s="56"/>
      <c r="F32" s="56"/>
      <c r="G32" s="56"/>
    </row>
    <row r="33" customFormat="false" ht="15" hidden="false" customHeight="false" outlineLevel="0" collapsed="false">
      <c r="A33" s="56"/>
      <c r="B33" s="56" t="s">
        <v>370</v>
      </c>
      <c r="C33" s="56" t="n">
        <f aca="false">1750000/4/75</f>
        <v>5833.33333333333</v>
      </c>
      <c r="D33" s="56"/>
      <c r="E33" s="56" t="n">
        <f aca="false">1750000/4/75</f>
        <v>5833.33333333333</v>
      </c>
      <c r="F33" s="56" t="n">
        <f aca="false">1750000/4/75</f>
        <v>5833.33333333333</v>
      </c>
      <c r="G33" s="56"/>
    </row>
    <row r="34" customFormat="false" ht="15" hidden="false" customHeight="false" outlineLevel="0" collapsed="false">
      <c r="A34" s="56"/>
      <c r="B34" s="56"/>
      <c r="C34" s="56"/>
      <c r="D34" s="56"/>
      <c r="E34" s="56"/>
      <c r="F34" s="56"/>
      <c r="G34" s="56"/>
    </row>
    <row r="35" customFormat="false" ht="15" hidden="false" customHeight="false" outlineLevel="0" collapsed="false">
      <c r="A35" s="56"/>
      <c r="B35" s="56"/>
      <c r="C35" s="56"/>
      <c r="D35" s="56"/>
      <c r="E35" s="56"/>
      <c r="F35" s="56"/>
      <c r="G35" s="56"/>
    </row>
    <row r="36" customFormat="false" ht="15" hidden="false" customHeight="false" outlineLevel="0" collapsed="false">
      <c r="A36" s="56"/>
      <c r="B36" s="56" t="s">
        <v>371</v>
      </c>
      <c r="C36" s="56" t="n">
        <f aca="false">C33+C32</f>
        <v>55333.3333333333</v>
      </c>
      <c r="D36" s="56"/>
      <c r="E36" s="56"/>
      <c r="F36" s="56"/>
      <c r="G36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1999-03-04T00:35:25Z</dcterms:created>
  <dc:creator>phillip</dc:creator>
  <dc:description/>
  <dc:language>en-US</dc:language>
  <cp:lastModifiedBy>pallen</cp:lastModifiedBy>
  <cp:lastPrinted>2000-12-30T02:23:29Z</cp:lastPrinted>
  <dcterms:modified xsi:type="dcterms:W3CDTF">2000-06-07T23:29:10Z</dcterms:modified>
  <cp:revision>0</cp:revision>
  <dc:subject/>
  <dc:title>Positions</dc:title>
</cp:coreProperties>
</file>